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2120" windowHeight="9120" tabRatio="722" activeTab="2"/>
  </bookViews>
  <sheets>
    <sheet name="Summary" sheetId="1" r:id="rId1"/>
    <sheet name="Gage R &amp; R" sheetId="2" r:id="rId2"/>
    <sheet name="Gage R &amp; R Example" sheetId="3" r:id="rId3"/>
    <sheet name="Bias" sheetId="4" r:id="rId4"/>
    <sheet name="Bias Example" sheetId="5" r:id="rId5"/>
    <sheet name="Linearity" sheetId="6" r:id="rId6"/>
    <sheet name="Linearity Example" sheetId="7" r:id="rId7"/>
    <sheet name="Stability" sheetId="8" r:id="rId8"/>
    <sheet name="Stability Example" sheetId="9" r:id="rId9"/>
    <sheet name="Attribute Gage R &amp; R" sheetId="10" r:id="rId10"/>
    <sheet name="Attribute Gage R &amp; R Example" sheetId="11" r:id="rId11"/>
  </sheets>
  <definedNames>
    <definedName name="HistData8">#REF!</definedName>
    <definedName name="_xlnm.Print_Area" localSheetId="9">'Attribute Gage R &amp; R'!$A$1:$Y$60</definedName>
    <definedName name="_xlnm.Print_Area" localSheetId="3">'Bias'!$A$1:$Q$42</definedName>
    <definedName name="_xlnm.Print_Area" localSheetId="1">'Gage R &amp; R'!$A$1:$P$83</definedName>
    <definedName name="_xlnm.Print_Area" localSheetId="2">'Gage R &amp; R Example'!$A$1:$O$55</definedName>
    <definedName name="_xlnm.Print_Area" localSheetId="5">'Linearity'!$A$1:$O$73</definedName>
    <definedName name="_xlnm.Print_Area" localSheetId="6">'Linearity Example'!$A$1:$N$75</definedName>
    <definedName name="_xlnm.Print_Area" localSheetId="7">'Stability'!$A$1:$X$80</definedName>
    <definedName name="_xlnm.Print_Area" localSheetId="8">'Stability Example'!$A$1:$W$74</definedName>
    <definedName name="_xlnm.Print_Area" localSheetId="0">'Summary'!$A$1:$I$30</definedName>
  </definedNames>
  <calcPr fullCalcOnLoad="1"/>
</workbook>
</file>

<file path=xl/comments1.xml><?xml version="1.0" encoding="utf-8"?>
<comments xmlns="http://schemas.openxmlformats.org/spreadsheetml/2006/main">
  <authors>
    <author>looseb</author>
  </authors>
  <commentList>
    <comment ref="B5" authorId="0">
      <text>
        <r>
          <rPr>
            <b/>
            <sz val="8"/>
            <rFont val="Tahoma"/>
            <family val="0"/>
          </rPr>
          <t>looseb:</t>
        </r>
        <r>
          <rPr>
            <sz val="8"/>
            <rFont val="Tahoma"/>
            <family val="0"/>
          </rPr>
          <t xml:space="preserve">
Example if you are measuring screw length and your smallest screw studied was .250" and the largest was 1.250" the range of dimensionsion is .250" - 1.250".</t>
        </r>
      </text>
    </comment>
  </commentList>
</comments>
</file>

<file path=xl/comments2.xml><?xml version="1.0" encoding="utf-8"?>
<comments xmlns="http://schemas.openxmlformats.org/spreadsheetml/2006/main">
  <authors>
    <author>A satisfied Microsoft Office user</author>
    <author>Southco</author>
    <author>cadwad</author>
  </authors>
  <commentList>
    <comment ref="A37" authorId="0">
      <text>
        <r>
          <rPr>
            <sz val="8"/>
            <rFont val="Tahoma"/>
            <family val="0"/>
          </rPr>
          <t>Repeatability evaluates equipment variation</t>
        </r>
      </text>
    </comment>
    <comment ref="A38" authorId="0">
      <text>
        <r>
          <rPr>
            <sz val="8"/>
            <rFont val="Tahoma"/>
            <family val="0"/>
          </rPr>
          <t>Reproducibility evaluates Appriaser variation</t>
        </r>
      </text>
    </comment>
    <comment ref="A39" authorId="1">
      <text>
        <r>
          <rPr>
            <sz val="8"/>
            <rFont val="Tahoma"/>
            <family val="0"/>
          </rPr>
          <t>Gage Repeatability &amp; Reproducibility</t>
        </r>
      </text>
    </comment>
    <comment ref="A43" authorId="1">
      <text>
        <r>
          <rPr>
            <sz val="8"/>
            <rFont val="Tahoma"/>
            <family val="0"/>
          </rPr>
          <t>Number of Distinct Data Categories</t>
        </r>
      </text>
    </comment>
    <comment ref="A5" authorId="2">
      <text>
        <r>
          <rPr>
            <b/>
            <sz val="8"/>
            <rFont val="Tahoma"/>
            <family val="0"/>
          </rPr>
          <t>Upper Specification from Drawing.</t>
        </r>
      </text>
    </comment>
    <comment ref="A6" authorId="2">
      <text>
        <r>
          <rPr>
            <b/>
            <sz val="8"/>
            <rFont val="Tahoma"/>
            <family val="0"/>
          </rPr>
          <t>Lower Spec Limit from Drawing</t>
        </r>
        <r>
          <rPr>
            <sz val="8"/>
            <rFont val="Tahoma"/>
            <family val="0"/>
          </rPr>
          <t xml:space="preserve">
</t>
        </r>
      </text>
    </comment>
    <comment ref="A35" authorId="2">
      <text>
        <r>
          <rPr>
            <b/>
            <sz val="8"/>
            <rFont val="Tahoma"/>
            <family val="0"/>
          </rPr>
          <t>Calculated based on average range times constant based on subgroup size</t>
        </r>
        <r>
          <rPr>
            <sz val="8"/>
            <rFont val="Tahoma"/>
            <family val="0"/>
          </rPr>
          <t xml:space="preserve">
</t>
        </r>
      </text>
    </comment>
    <comment ref="A36" authorId="2">
      <text>
        <r>
          <rPr>
            <b/>
            <sz val="8"/>
            <rFont val="Tahoma"/>
            <family val="0"/>
          </rPr>
          <t>Should always be 0.</t>
        </r>
        <r>
          <rPr>
            <sz val="8"/>
            <rFont val="Tahoma"/>
            <family val="0"/>
          </rPr>
          <t xml:space="preserve">
</t>
        </r>
      </text>
    </comment>
  </commentList>
</comments>
</file>

<file path=xl/comments3.xml><?xml version="1.0" encoding="utf-8"?>
<comments xmlns="http://schemas.openxmlformats.org/spreadsheetml/2006/main">
  <authors>
    <author>A satisfied Microsoft Office user</author>
    <author>Southco</author>
  </authors>
  <commentList>
    <comment ref="A37" authorId="0">
      <text>
        <r>
          <rPr>
            <sz val="8"/>
            <rFont val="Tahoma"/>
            <family val="0"/>
          </rPr>
          <t>Repeatability evaluates equipment variation</t>
        </r>
      </text>
    </comment>
    <comment ref="A38" authorId="0">
      <text>
        <r>
          <rPr>
            <sz val="8"/>
            <rFont val="Tahoma"/>
            <family val="0"/>
          </rPr>
          <t>Reproducibility evaluates Appriaser variation</t>
        </r>
      </text>
    </comment>
    <comment ref="A43" authorId="1">
      <text>
        <r>
          <rPr>
            <sz val="8"/>
            <rFont val="Tahoma"/>
            <family val="0"/>
          </rPr>
          <t>Number of Distinct Data Categories</t>
        </r>
      </text>
    </comment>
    <comment ref="A39" authorId="1">
      <text>
        <r>
          <rPr>
            <sz val="8"/>
            <rFont val="Tahoma"/>
            <family val="0"/>
          </rPr>
          <t>Gage Repeatability &amp; Reproducibility</t>
        </r>
      </text>
    </comment>
  </commentList>
</comments>
</file>

<file path=xl/sharedStrings.xml><?xml version="1.0" encoding="utf-8"?>
<sst xmlns="http://schemas.openxmlformats.org/spreadsheetml/2006/main" count="1014" uniqueCount="230">
  <si>
    <t>Part</t>
  </si>
  <si>
    <t>Gage R&amp;R</t>
  </si>
  <si>
    <t>Trial 1</t>
  </si>
  <si>
    <t>Constants</t>
  </si>
  <si>
    <t>5 Trials</t>
  </si>
  <si>
    <t>4 Trials</t>
  </si>
  <si>
    <t>3 Trials</t>
  </si>
  <si>
    <t>2 Trials</t>
  </si>
  <si>
    <t># Trials</t>
  </si>
  <si>
    <t>UCL</t>
  </si>
  <si>
    <t>D4</t>
  </si>
  <si>
    <t>UCL represents the limit of the individual R's</t>
  </si>
  <si>
    <t>LCL</t>
  </si>
  <si>
    <t>D3</t>
  </si>
  <si>
    <t xml:space="preserve">Circle those beyond the limit. </t>
  </si>
  <si>
    <t>Repeatability(EV)</t>
  </si>
  <si>
    <t>K1</t>
  </si>
  <si>
    <t>Identify and correct causes</t>
  </si>
  <si>
    <t>Reproducibility(AV)</t>
  </si>
  <si>
    <t>K2</t>
  </si>
  <si>
    <t>LCL = 0 D3=0 for up to 7 trials</t>
  </si>
  <si>
    <t>2 Ops</t>
  </si>
  <si>
    <t># Parts</t>
  </si>
  <si>
    <t>#Trials</t>
  </si>
  <si>
    <t>The template will automatically calculate all of the values based on your data</t>
  </si>
  <si>
    <t>Part Number and Name:</t>
  </si>
  <si>
    <t>Characteristic:</t>
  </si>
  <si>
    <t>Gage Name:</t>
  </si>
  <si>
    <t>Gage Number:</t>
  </si>
  <si>
    <t>Gage Type:</t>
  </si>
  <si>
    <t>Date Measured:</t>
  </si>
  <si>
    <t>Performed By:</t>
  </si>
  <si>
    <t>Date Performed:</t>
  </si>
  <si>
    <t>Reference Value:</t>
  </si>
  <si>
    <t>Sample Measurements:</t>
  </si>
  <si>
    <t>Sample Average:</t>
  </si>
  <si>
    <t>=</t>
  </si>
  <si>
    <t>Bias</t>
  </si>
  <si>
    <t>Specification:</t>
  </si>
  <si>
    <t>Part Ref. Values:</t>
  </si>
  <si>
    <t>Range:</t>
  </si>
  <si>
    <t>Goodness of Fit:</t>
  </si>
  <si>
    <t>Sample #:</t>
  </si>
  <si>
    <t>Day #1</t>
  </si>
  <si>
    <t>Day #2</t>
  </si>
  <si>
    <t>Day #3</t>
  </si>
  <si>
    <t>Day # 4</t>
  </si>
  <si>
    <t>Day # 5</t>
  </si>
  <si>
    <t>Day #6</t>
  </si>
  <si>
    <t>Day #7</t>
  </si>
  <si>
    <t>Day #8</t>
  </si>
  <si>
    <t>Day #9</t>
  </si>
  <si>
    <t>Day #10</t>
  </si>
  <si>
    <t>Xbar</t>
  </si>
  <si>
    <t>Range(Max-Min)</t>
  </si>
  <si>
    <t>Rbar (Average Range)</t>
  </si>
  <si>
    <t>Date Started:</t>
  </si>
  <si>
    <t>σ repeatability =</t>
  </si>
  <si>
    <t>σ bias =</t>
  </si>
  <si>
    <t>t =</t>
  </si>
  <si>
    <t>Significant t value (2-tailed) =</t>
  </si>
  <si>
    <t>upper conf. limit =</t>
  </si>
  <si>
    <t>lower conf. limit =</t>
  </si>
  <si>
    <t>Conclusion:</t>
  </si>
  <si>
    <t>Bias Average:</t>
  </si>
  <si>
    <t>I</t>
  </si>
  <si>
    <t>j</t>
  </si>
  <si>
    <t>y</t>
  </si>
  <si>
    <t>x</t>
  </si>
  <si>
    <t>y^2</t>
  </si>
  <si>
    <t>sum of y^2</t>
  </si>
  <si>
    <t>sum of y</t>
  </si>
  <si>
    <t>xy</t>
  </si>
  <si>
    <t>sum of xy</t>
  </si>
  <si>
    <t>s =</t>
  </si>
  <si>
    <t>x bar</t>
  </si>
  <si>
    <t>x-x bar</t>
  </si>
  <si>
    <t>(x-xbar)^2</t>
  </si>
  <si>
    <t>sum of (x-xbar)^2</t>
  </si>
  <si>
    <t>crit t</t>
  </si>
  <si>
    <t>Intercept (b):</t>
  </si>
  <si>
    <t>Slope (a):</t>
  </si>
  <si>
    <t>sum of x</t>
  </si>
  <si>
    <t>x^2</t>
  </si>
  <si>
    <t>sum of x^2</t>
  </si>
  <si>
    <t>g =</t>
  </si>
  <si>
    <t xml:space="preserve">m = </t>
  </si>
  <si>
    <t>(NIST traceable standard or as measured using master method, I.e. CMM )</t>
  </si>
  <si>
    <t>Note 1: If you perform a complete Linearity Study, you do not have to do this Bias study.</t>
  </si>
  <si>
    <t>Note 2: This analysis is only valid for 15 repeated readings on 1 sample.  Otherwise, see your Quality Manager for assistance.</t>
  </si>
  <si>
    <t>% RR of Tolerance</t>
  </si>
  <si>
    <t>Linearity</t>
  </si>
  <si>
    <t>Stability</t>
  </si>
  <si>
    <t>Range of Dimension:</t>
  </si>
  <si>
    <t>Bias:</t>
  </si>
  <si>
    <t>Note: This analysis is only valid for studies of 5 parts measured 12 times each.  Otherwise see your Quality Manager.</t>
  </si>
  <si>
    <t>Part Number &amp; Name:</t>
  </si>
  <si>
    <t>Trials:</t>
  </si>
  <si>
    <t xml:space="preserve">ta = </t>
  </si>
  <si>
    <t>tb =</t>
  </si>
  <si>
    <t>USL</t>
  </si>
  <si>
    <t>LSL</t>
  </si>
  <si>
    <t>Trial 2</t>
  </si>
  <si>
    <t>Trial 3</t>
  </si>
  <si>
    <t>Average A</t>
  </si>
  <si>
    <t>Range A</t>
  </si>
  <si>
    <t>Xbar A</t>
  </si>
  <si>
    <t>Rbar A</t>
  </si>
  <si>
    <t>Average B</t>
  </si>
  <si>
    <t>Range B</t>
  </si>
  <si>
    <t>Average C</t>
  </si>
  <si>
    <t>Range C</t>
  </si>
  <si>
    <t>Xbar B</t>
  </si>
  <si>
    <t>Rbar B</t>
  </si>
  <si>
    <t>Xbar C</t>
  </si>
  <si>
    <t>Rbar C</t>
  </si>
  <si>
    <t>Part Average</t>
  </si>
  <si>
    <r>
      <t>R</t>
    </r>
    <r>
      <rPr>
        <vertAlign val="subscript"/>
        <sz val="10"/>
        <rFont val="MS Sans Serif"/>
        <family val="2"/>
      </rPr>
      <t xml:space="preserve">P </t>
    </r>
    <r>
      <rPr>
        <sz val="10"/>
        <rFont val="MS Sans Serif"/>
        <family val="2"/>
      </rPr>
      <t>(Range of Part Averages)</t>
    </r>
  </si>
  <si>
    <t>Average of 3 Ranges</t>
  </si>
  <si>
    <r>
      <t>Xbar</t>
    </r>
    <r>
      <rPr>
        <vertAlign val="subscript"/>
        <sz val="10"/>
        <rFont val="MS Sans Serif"/>
        <family val="2"/>
      </rPr>
      <t>Diff</t>
    </r>
  </si>
  <si>
    <t>Gage R &amp; R</t>
  </si>
  <si>
    <t>Part Variation</t>
  </si>
  <si>
    <t>Total Variation</t>
  </si>
  <si>
    <t>NDC</t>
  </si>
  <si>
    <t>K3(Constant)</t>
  </si>
  <si>
    <t>% EV</t>
  </si>
  <si>
    <t>% AV</t>
  </si>
  <si>
    <t>% Gage R &amp; R</t>
  </si>
  <si>
    <t>% PV</t>
  </si>
  <si>
    <t>% of Total Variation</t>
  </si>
  <si>
    <t>% of Tolerance</t>
  </si>
  <si>
    <t xml:space="preserve"> Tolerance</t>
  </si>
  <si>
    <t>3 Ops</t>
  </si>
  <si>
    <t>Just enter your measurement data in Cells C11:L13, C17:L19, C23:L25</t>
  </si>
  <si>
    <t>Instructions:</t>
  </si>
  <si>
    <t>Day #11</t>
  </si>
  <si>
    <t>Day #12</t>
  </si>
  <si>
    <t>Day #13</t>
  </si>
  <si>
    <t>Day #14</t>
  </si>
  <si>
    <t>Day #15</t>
  </si>
  <si>
    <t>Day #16</t>
  </si>
  <si>
    <t>Day #17</t>
  </si>
  <si>
    <t>Day #18</t>
  </si>
  <si>
    <t>Day #19</t>
  </si>
  <si>
    <t>Day #20</t>
  </si>
  <si>
    <t>Xdoublebar(Grand Average)</t>
  </si>
  <si>
    <t>UCL(Range Chart)</t>
  </si>
  <si>
    <t>LCL(Range Chart)</t>
  </si>
  <si>
    <t>LCL(Xbar Chart)</t>
  </si>
  <si>
    <t>UCL (Xbar Chart)</t>
  </si>
  <si>
    <t>Part Number &amp; Name</t>
  </si>
  <si>
    <t>90-0-33745 Handle</t>
  </si>
  <si>
    <t>Measurement System</t>
  </si>
  <si>
    <t>Manual Visual Inspection</t>
  </si>
  <si>
    <t>Characteristic</t>
  </si>
  <si>
    <t>Scratches, Marks, Spots</t>
  </si>
  <si>
    <t>Date</t>
  </si>
  <si>
    <t>Performed By</t>
  </si>
  <si>
    <t>Shailesh Patel &amp; Peter Barlow</t>
  </si>
  <si>
    <t>Sample No</t>
  </si>
  <si>
    <t>A-1</t>
  </si>
  <si>
    <t>A-2</t>
  </si>
  <si>
    <t>A-3</t>
  </si>
  <si>
    <t>B-1</t>
  </si>
  <si>
    <t>B-2</t>
  </si>
  <si>
    <t>B-3</t>
  </si>
  <si>
    <t>C-1</t>
  </si>
  <si>
    <t>C-2</t>
  </si>
  <si>
    <t>C-3</t>
  </si>
  <si>
    <t>Reference Decision</t>
  </si>
  <si>
    <t>G</t>
  </si>
  <si>
    <t>A*B</t>
  </si>
  <si>
    <t>A* Ref Decision</t>
  </si>
  <si>
    <t>B</t>
  </si>
  <si>
    <t>Total</t>
  </si>
  <si>
    <t>Ref Decision</t>
  </si>
  <si>
    <t>B Count</t>
  </si>
  <si>
    <t>G Count</t>
  </si>
  <si>
    <t>A</t>
  </si>
  <si>
    <t>Expected Count</t>
  </si>
  <si>
    <t>Expected count</t>
  </si>
  <si>
    <t>Count</t>
  </si>
  <si>
    <r>
      <t>P</t>
    </r>
    <r>
      <rPr>
        <vertAlign val="subscript"/>
        <sz val="10"/>
        <rFont val="Arial"/>
        <family val="2"/>
      </rPr>
      <t>o</t>
    </r>
    <r>
      <rPr>
        <sz val="10"/>
        <rFont val="Arial"/>
        <family val="2"/>
      </rPr>
      <t>(A*B)</t>
    </r>
  </si>
  <si>
    <r>
      <t>P</t>
    </r>
    <r>
      <rPr>
        <vertAlign val="subscript"/>
        <sz val="10"/>
        <rFont val="Arial"/>
        <family val="2"/>
      </rPr>
      <t>o</t>
    </r>
    <r>
      <rPr>
        <sz val="10"/>
        <rFont val="Arial"/>
        <family val="2"/>
      </rPr>
      <t>(A* Ref)</t>
    </r>
  </si>
  <si>
    <r>
      <t>P</t>
    </r>
    <r>
      <rPr>
        <vertAlign val="subscript"/>
        <sz val="10"/>
        <rFont val="Arial"/>
        <family val="2"/>
      </rPr>
      <t>e</t>
    </r>
    <r>
      <rPr>
        <sz val="10"/>
        <rFont val="Arial"/>
        <family val="2"/>
      </rPr>
      <t>(A*B)</t>
    </r>
  </si>
  <si>
    <r>
      <t>P</t>
    </r>
    <r>
      <rPr>
        <vertAlign val="subscript"/>
        <sz val="10"/>
        <rFont val="Arial"/>
        <family val="2"/>
      </rPr>
      <t>e</t>
    </r>
    <r>
      <rPr>
        <sz val="10"/>
        <rFont val="Arial"/>
        <family val="2"/>
      </rPr>
      <t>(A* Ref)</t>
    </r>
  </si>
  <si>
    <t>B*C</t>
  </si>
  <si>
    <t>B* Ref Decision</t>
  </si>
  <si>
    <t>C</t>
  </si>
  <si>
    <r>
      <t>P</t>
    </r>
    <r>
      <rPr>
        <vertAlign val="subscript"/>
        <sz val="10"/>
        <rFont val="Arial"/>
        <family val="2"/>
      </rPr>
      <t>o</t>
    </r>
    <r>
      <rPr>
        <sz val="10"/>
        <rFont val="Arial"/>
        <family val="2"/>
      </rPr>
      <t>(B*C)</t>
    </r>
  </si>
  <si>
    <r>
      <t>P</t>
    </r>
    <r>
      <rPr>
        <vertAlign val="subscript"/>
        <sz val="10"/>
        <rFont val="Arial"/>
        <family val="2"/>
      </rPr>
      <t>o</t>
    </r>
    <r>
      <rPr>
        <sz val="10"/>
        <rFont val="Arial"/>
        <family val="2"/>
      </rPr>
      <t>(B* Ref)</t>
    </r>
  </si>
  <si>
    <r>
      <t>P</t>
    </r>
    <r>
      <rPr>
        <vertAlign val="subscript"/>
        <sz val="10"/>
        <rFont val="Arial"/>
        <family val="2"/>
      </rPr>
      <t>e</t>
    </r>
    <r>
      <rPr>
        <sz val="10"/>
        <rFont val="Arial"/>
        <family val="2"/>
      </rPr>
      <t>(B*C)</t>
    </r>
  </si>
  <si>
    <r>
      <t>P</t>
    </r>
    <r>
      <rPr>
        <vertAlign val="subscript"/>
        <sz val="10"/>
        <rFont val="Arial"/>
        <family val="2"/>
      </rPr>
      <t>e</t>
    </r>
    <r>
      <rPr>
        <sz val="10"/>
        <rFont val="Arial"/>
        <family val="2"/>
      </rPr>
      <t>(B* Ref)</t>
    </r>
  </si>
  <si>
    <t>A*C</t>
  </si>
  <si>
    <t>C* Ref Decision</t>
  </si>
  <si>
    <r>
      <t>P</t>
    </r>
    <r>
      <rPr>
        <vertAlign val="subscript"/>
        <sz val="10"/>
        <rFont val="Arial"/>
        <family val="2"/>
      </rPr>
      <t>o</t>
    </r>
    <r>
      <rPr>
        <sz val="10"/>
        <rFont val="Arial"/>
        <family val="2"/>
      </rPr>
      <t>(A*C)</t>
    </r>
  </si>
  <si>
    <r>
      <t>P</t>
    </r>
    <r>
      <rPr>
        <vertAlign val="subscript"/>
        <sz val="10"/>
        <rFont val="Arial"/>
        <family val="2"/>
      </rPr>
      <t>o</t>
    </r>
    <r>
      <rPr>
        <sz val="10"/>
        <rFont val="Arial"/>
        <family val="2"/>
      </rPr>
      <t>(C* Ref)</t>
    </r>
  </si>
  <si>
    <r>
      <t>P</t>
    </r>
    <r>
      <rPr>
        <vertAlign val="subscript"/>
        <sz val="10"/>
        <rFont val="Arial"/>
        <family val="2"/>
      </rPr>
      <t>e</t>
    </r>
    <r>
      <rPr>
        <sz val="10"/>
        <rFont val="Arial"/>
        <family val="2"/>
      </rPr>
      <t>(A*C)</t>
    </r>
  </si>
  <si>
    <r>
      <t>P</t>
    </r>
    <r>
      <rPr>
        <vertAlign val="subscript"/>
        <sz val="10"/>
        <rFont val="Arial"/>
        <family val="2"/>
      </rPr>
      <t>e</t>
    </r>
    <r>
      <rPr>
        <sz val="10"/>
        <rFont val="Arial"/>
        <family val="2"/>
      </rPr>
      <t>(C* Ref)</t>
    </r>
  </si>
  <si>
    <r>
      <t>Kappa = (P</t>
    </r>
    <r>
      <rPr>
        <vertAlign val="subscript"/>
        <sz val="10"/>
        <rFont val="Arial"/>
        <family val="2"/>
      </rPr>
      <t>o</t>
    </r>
    <r>
      <rPr>
        <sz val="10"/>
        <rFont val="Arial"/>
        <family val="2"/>
      </rPr>
      <t>-P</t>
    </r>
    <r>
      <rPr>
        <vertAlign val="subscript"/>
        <sz val="10"/>
        <rFont val="Arial"/>
        <family val="2"/>
      </rPr>
      <t>e</t>
    </r>
    <r>
      <rPr>
        <sz val="10"/>
        <rFont val="Arial"/>
        <family val="2"/>
      </rPr>
      <t>)/(1-P</t>
    </r>
    <r>
      <rPr>
        <vertAlign val="subscript"/>
        <sz val="10"/>
        <rFont val="Arial"/>
        <family val="2"/>
      </rPr>
      <t>e</t>
    </r>
    <r>
      <rPr>
        <sz val="10"/>
        <rFont val="Arial"/>
        <family val="2"/>
      </rPr>
      <t>)</t>
    </r>
  </si>
  <si>
    <t>Degree of agreement between operators</t>
  </si>
  <si>
    <t>Degree of agreement between operators &amp; Ref Decision</t>
  </si>
  <si>
    <t>Kappa</t>
  </si>
  <si>
    <t>-</t>
  </si>
  <si>
    <t>Note: Kappa measures the agreement between the two raters when both are rating same object. Its value ranges from 0 to 1. A value of 1 indicates perfect agreement while value of 0 indicates that agreement is no better than chance. A general rule of thumb is that values of Kappa greater than 0.75 indicate good to excellent agreement while values less than 0.40 indicate poor agreement. Reference AIAG MSA Manual, Third Edition</t>
  </si>
  <si>
    <t xml:space="preserve">Key : </t>
  </si>
  <si>
    <t>G = Good</t>
  </si>
  <si>
    <t>B = Bad</t>
  </si>
  <si>
    <t>Gage Name</t>
  </si>
  <si>
    <t xml:space="preserve">Gate Number </t>
  </si>
  <si>
    <t>Gage Type</t>
  </si>
  <si>
    <t>Date:</t>
  </si>
  <si>
    <t>Appraiser/Trial #</t>
  </si>
  <si>
    <t>Appraiser A</t>
  </si>
  <si>
    <t>Appraiser B</t>
  </si>
  <si>
    <t>Appraiser C</t>
  </si>
  <si>
    <t>Digital Depth Micrometer</t>
  </si>
  <si>
    <t>Hole Depth</t>
  </si>
  <si>
    <t>Depth Micrometer</t>
  </si>
  <si>
    <t>.3079.</t>
  </si>
  <si>
    <t xml:space="preserve">Measurement Systems Analysis - Gage R&amp;R Study </t>
  </si>
  <si>
    <t>?</t>
  </si>
  <si>
    <t>XXXX</t>
  </si>
  <si>
    <t>XX-XXX-XX</t>
  </si>
  <si>
    <t>(Name)</t>
  </si>
  <si>
    <t>(Title / Function)</t>
  </si>
  <si>
    <t>Measurement Systems Analysis - Summary Report</t>
  </si>
  <si>
    <t>Measurement Systems Analysis - Bias Worksheet</t>
  </si>
  <si>
    <t xml:space="preserve">Measurement Systems Analysis - Linearity </t>
  </si>
  <si>
    <t>Measurement Systems Analysis - Stability Study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</si>
</sst>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 numFmtId="166" formatCode="0.0%"/>
    <numFmt numFmtId="167" formatCode="0.00000"/>
    <numFmt numFmtId="168" formatCode="0.00000000"/>
    <numFmt numFmtId="169" formatCode="0.0000000000000000"/>
    <numFmt numFmtId="170" formatCode="m/d/yy"/>
    <numFmt numFmtId="171" formatCode="0.0"/>
    <numFmt numFmtId="172" formatCode="&quot;Yes&quot;;&quot;Yes&quot;;&quot;No&quot;"/>
    <numFmt numFmtId="173" formatCode="&quot;True&quot;;&quot;True&quot;;&quot;False&quot;"/>
    <numFmt numFmtId="174" formatCode="&quot;On&quot;;&quot;On&quot;;&quot;Off&quot;"/>
    <numFmt numFmtId="175" formatCode="[$€-2]\ #,##0.00_);[Red]\([$€-2]\ #,##0.00\)"/>
  </numFmts>
  <fonts count="42">
    <font>
      <sz val="10"/>
      <name val="MS Sans Serif"/>
      <family val="0"/>
    </font>
    <font>
      <b/>
      <sz val="10"/>
      <name val="MS Sans Serif"/>
      <family val="0"/>
    </font>
    <font>
      <i/>
      <sz val="10"/>
      <name val="MS Sans Serif"/>
      <family val="0"/>
    </font>
    <font>
      <b/>
      <i/>
      <sz val="10"/>
      <name val="MS Sans Serif"/>
      <family val="0"/>
    </font>
    <font>
      <sz val="8"/>
      <name val="Tahoma"/>
      <family val="0"/>
    </font>
    <font>
      <sz val="10"/>
      <name val="Trebuchet MS"/>
      <family val="2"/>
    </font>
    <font>
      <b/>
      <sz val="10"/>
      <name val="Trebuchet MS"/>
      <family val="2"/>
    </font>
    <font>
      <b/>
      <sz val="12"/>
      <name val="Trebuchet MS"/>
      <family val="2"/>
    </font>
    <font>
      <b/>
      <sz val="20"/>
      <name val="Trebuchet MS"/>
      <family val="2"/>
    </font>
    <font>
      <b/>
      <sz val="14"/>
      <name val="Trebuchet MS"/>
      <family val="2"/>
    </font>
    <font>
      <sz val="8.5"/>
      <name val="MS Sans Serif"/>
      <family val="2"/>
    </font>
    <font>
      <vertAlign val="superscript"/>
      <sz val="14.5"/>
      <name val="Arial"/>
      <family val="0"/>
    </font>
    <font>
      <sz val="14.5"/>
      <name val="Arial"/>
      <family val="0"/>
    </font>
    <font>
      <b/>
      <sz val="17.75"/>
      <name val="Arial"/>
      <family val="0"/>
    </font>
    <font>
      <b/>
      <sz val="12"/>
      <name val="Arial"/>
      <family val="0"/>
    </font>
    <font>
      <sz val="10"/>
      <name val="Arial"/>
      <family val="2"/>
    </font>
    <font>
      <b/>
      <sz val="16"/>
      <name val="Arial"/>
      <family val="2"/>
    </font>
    <font>
      <b/>
      <sz val="10"/>
      <name val="Arial"/>
      <family val="2"/>
    </font>
    <font>
      <b/>
      <sz val="14"/>
      <name val="Arial"/>
      <family val="2"/>
    </font>
    <font>
      <sz val="14"/>
      <name val="Arial"/>
      <family val="2"/>
    </font>
    <font>
      <sz val="8"/>
      <name val="Arial"/>
      <family val="2"/>
    </font>
    <font>
      <b/>
      <sz val="12"/>
      <name val="MS Sans Serif"/>
      <family val="2"/>
    </font>
    <font>
      <vertAlign val="subscript"/>
      <sz val="10"/>
      <name val="MS Sans Serif"/>
      <family val="2"/>
    </font>
    <font>
      <b/>
      <sz val="17.25"/>
      <name val="Arial"/>
      <family val="2"/>
    </font>
    <font>
      <b/>
      <sz val="11.5"/>
      <name val="Arial"/>
      <family val="2"/>
    </font>
    <font>
      <sz val="9.5"/>
      <name val="Arial"/>
      <family val="2"/>
    </font>
    <font>
      <sz val="30.5"/>
      <name val="Arial"/>
      <family val="0"/>
    </font>
    <font>
      <sz val="26.5"/>
      <name val="Arial"/>
      <family val="0"/>
    </font>
    <font>
      <sz val="24"/>
      <name val="Arial"/>
      <family val="0"/>
    </font>
    <font>
      <sz val="21.75"/>
      <name val="Arial"/>
      <family val="0"/>
    </font>
    <font>
      <sz val="18.75"/>
      <name val="Arial"/>
      <family val="0"/>
    </font>
    <font>
      <sz val="20"/>
      <name val="Arial"/>
      <family val="0"/>
    </font>
    <font>
      <sz val="12"/>
      <name val="Arial"/>
      <family val="2"/>
    </font>
    <font>
      <vertAlign val="subscript"/>
      <sz val="10"/>
      <name val="Arial"/>
      <family val="2"/>
    </font>
    <font>
      <b/>
      <sz val="17.5"/>
      <name val="Arial"/>
      <family val="0"/>
    </font>
    <font>
      <sz val="14.25"/>
      <name val="Arial"/>
      <family val="0"/>
    </font>
    <font>
      <vertAlign val="superscript"/>
      <sz val="14.25"/>
      <name val="Arial"/>
      <family val="0"/>
    </font>
    <font>
      <b/>
      <sz val="8"/>
      <name val="Tahoma"/>
      <family val="0"/>
    </font>
    <font>
      <sz val="10"/>
      <color indexed="9"/>
      <name val="MS Sans Serif"/>
      <family val="2"/>
    </font>
    <font>
      <u val="single"/>
      <sz val="8"/>
      <color indexed="12"/>
      <name val="MS Sans Serif"/>
      <family val="0"/>
    </font>
    <font>
      <u val="single"/>
      <sz val="8"/>
      <color indexed="36"/>
      <name val="MS Sans Serif"/>
      <family val="0"/>
    </font>
    <font>
      <b/>
      <sz val="8"/>
      <name val="MS Sans Serif"/>
      <family val="2"/>
    </font>
  </fonts>
  <fills count="5">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13"/>
        <bgColor indexed="64"/>
      </patternFill>
    </fill>
  </fills>
  <borders count="36">
    <border>
      <left/>
      <right/>
      <top/>
      <bottom/>
      <diagonal/>
    </border>
    <border>
      <left>
        <color indexed="63"/>
      </left>
      <right>
        <color indexed="63"/>
      </right>
      <top style="thin"/>
      <bottom style="thin"/>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0" fillId="0" borderId="0" applyNumberForma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cellStyleXfs>
  <cellXfs count="281">
    <xf numFmtId="0" fontId="0" fillId="0" borderId="0" xfId="0"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horizontal="left"/>
    </xf>
    <xf numFmtId="0" fontId="6" fillId="0" borderId="0" xfId="0" applyFont="1" applyAlignment="1">
      <alignment/>
    </xf>
    <xf numFmtId="0" fontId="7" fillId="0" borderId="0" xfId="0" applyFont="1" applyAlignment="1">
      <alignment/>
    </xf>
    <xf numFmtId="15" fontId="6" fillId="0" borderId="0" xfId="0" applyNumberFormat="1" applyFont="1" applyBorder="1" applyAlignment="1">
      <alignment horizontal="left"/>
    </xf>
    <xf numFmtId="0" fontId="6" fillId="0" borderId="0" xfId="0" applyFont="1" applyBorder="1" applyAlignment="1">
      <alignment/>
    </xf>
    <xf numFmtId="0" fontId="6" fillId="0" borderId="0" xfId="0" applyFont="1" applyAlignment="1">
      <alignment horizontal="right"/>
    </xf>
    <xf numFmtId="0" fontId="6" fillId="0" borderId="0" xfId="0" applyFont="1" applyBorder="1" applyAlignment="1">
      <alignment horizontal="right"/>
    </xf>
    <xf numFmtId="0" fontId="5" fillId="0" borderId="0" xfId="0" applyFont="1" applyAlignment="1">
      <alignment horizontal="right"/>
    </xf>
    <xf numFmtId="165" fontId="5" fillId="0" borderId="0" xfId="0" applyNumberFormat="1" applyFont="1" applyAlignment="1">
      <alignment/>
    </xf>
    <xf numFmtId="164" fontId="5" fillId="0" borderId="0" xfId="0" applyNumberFormat="1" applyFont="1" applyAlignment="1">
      <alignment/>
    </xf>
    <xf numFmtId="0" fontId="7" fillId="0" borderId="0" xfId="0" applyFont="1" applyAlignment="1">
      <alignment horizontal="right"/>
    </xf>
    <xf numFmtId="0" fontId="6" fillId="0" borderId="0" xfId="0" applyFont="1" applyAlignment="1">
      <alignment horizontal="center"/>
    </xf>
    <xf numFmtId="0" fontId="6" fillId="0" borderId="0" xfId="0" applyFont="1" applyAlignment="1" quotePrefix="1">
      <alignment horizontal="center"/>
    </xf>
    <xf numFmtId="165" fontId="7" fillId="0" borderId="0" xfId="0" applyNumberFormat="1" applyFont="1" applyAlignment="1">
      <alignment/>
    </xf>
    <xf numFmtId="0" fontId="9" fillId="0" borderId="0" xfId="0" applyFont="1" applyAlignment="1">
      <alignment/>
    </xf>
    <xf numFmtId="0" fontId="9" fillId="0" borderId="0" xfId="0" applyFont="1" applyAlignment="1">
      <alignment horizontal="right"/>
    </xf>
    <xf numFmtId="0" fontId="9" fillId="0" borderId="0" xfId="0" applyFont="1" applyAlignment="1">
      <alignment horizontal="center"/>
    </xf>
    <xf numFmtId="0" fontId="10" fillId="0" borderId="0" xfId="0" applyFont="1" applyAlignment="1">
      <alignment/>
    </xf>
    <xf numFmtId="165" fontId="0" fillId="0" borderId="0" xfId="0" applyNumberFormat="1" applyAlignment="1">
      <alignment/>
    </xf>
    <xf numFmtId="0" fontId="0" fillId="0" borderId="0" xfId="0" applyBorder="1" applyAlignment="1">
      <alignment/>
    </xf>
    <xf numFmtId="0" fontId="0" fillId="0" borderId="0" xfId="0" applyAlignment="1">
      <alignment horizontal="right"/>
    </xf>
    <xf numFmtId="167" fontId="0" fillId="0" borderId="0" xfId="0" applyNumberFormat="1" applyAlignment="1">
      <alignment/>
    </xf>
    <xf numFmtId="0" fontId="1" fillId="0" borderId="0" xfId="0" applyFont="1" applyAlignment="1">
      <alignment/>
    </xf>
    <xf numFmtId="0" fontId="5" fillId="0" borderId="0" xfId="0" applyFont="1" applyAlignment="1">
      <alignment vertical="top" wrapText="1"/>
    </xf>
    <xf numFmtId="0" fontId="6" fillId="0" borderId="1" xfId="0" applyFont="1" applyBorder="1" applyAlignment="1">
      <alignment horizontal="center"/>
    </xf>
    <xf numFmtId="0" fontId="8" fillId="0" borderId="0" xfId="0" applyFont="1" applyAlignment="1">
      <alignment horizontal="center"/>
    </xf>
    <xf numFmtId="15" fontId="6" fillId="0" borderId="2" xfId="0" applyNumberFormat="1" applyFont="1" applyBorder="1" applyAlignment="1" quotePrefix="1">
      <alignment horizontal="center"/>
    </xf>
    <xf numFmtId="165" fontId="7" fillId="0" borderId="2" xfId="0" applyNumberFormat="1" applyFont="1" applyBorder="1" applyAlignment="1">
      <alignment horizontal="center"/>
    </xf>
    <xf numFmtId="165" fontId="7" fillId="0" borderId="0" xfId="0" applyNumberFormat="1" applyFont="1" applyBorder="1" applyAlignment="1">
      <alignment horizontal="center"/>
    </xf>
    <xf numFmtId="0" fontId="1" fillId="0" borderId="0" xfId="0" applyFont="1" applyAlignment="1">
      <alignment horizontal="left"/>
    </xf>
    <xf numFmtId="0" fontId="0" fillId="0" borderId="0" xfId="0" applyAlignment="1">
      <alignment horizontal="left"/>
    </xf>
    <xf numFmtId="0" fontId="8" fillId="0" borderId="0" xfId="0" applyFont="1" applyAlignment="1">
      <alignment horizontal="left"/>
    </xf>
    <xf numFmtId="0" fontId="7" fillId="0" borderId="0" xfId="0" applyFont="1" applyAlignment="1">
      <alignment horizontal="left"/>
    </xf>
    <xf numFmtId="0" fontId="15" fillId="0" borderId="0" xfId="0" applyFont="1" applyAlignment="1">
      <alignment/>
    </xf>
    <xf numFmtId="0" fontId="16" fillId="0" borderId="0" xfId="0" applyFont="1" applyAlignment="1">
      <alignment horizontal="left"/>
    </xf>
    <xf numFmtId="0" fontId="17" fillId="0" borderId="0" xfId="0" applyFont="1" applyAlignment="1">
      <alignment horizontal="right"/>
    </xf>
    <xf numFmtId="0" fontId="17" fillId="0" borderId="2" xfId="0" applyFont="1" applyBorder="1" applyAlignment="1">
      <alignment horizontal="center"/>
    </xf>
    <xf numFmtId="0" fontId="17" fillId="0" borderId="0" xfId="0" applyFont="1" applyAlignment="1">
      <alignment/>
    </xf>
    <xf numFmtId="0" fontId="17" fillId="0" borderId="0" xfId="0" applyFont="1" applyAlignment="1">
      <alignment horizontal="left"/>
    </xf>
    <xf numFmtId="0" fontId="17" fillId="0" borderId="1" xfId="0" applyFont="1" applyBorder="1" applyAlignment="1">
      <alignment horizontal="center"/>
    </xf>
    <xf numFmtId="0" fontId="17" fillId="0" borderId="0" xfId="0" applyFont="1" applyBorder="1" applyAlignment="1">
      <alignment horizontal="right"/>
    </xf>
    <xf numFmtId="170" fontId="17" fillId="0" borderId="2" xfId="0" applyNumberFormat="1" applyFont="1" applyBorder="1" applyAlignment="1" quotePrefix="1">
      <alignment horizontal="center"/>
    </xf>
    <xf numFmtId="15" fontId="17" fillId="0" borderId="2" xfId="0" applyNumberFormat="1" applyFont="1" applyBorder="1" applyAlignment="1" quotePrefix="1">
      <alignment horizontal="center"/>
    </xf>
    <xf numFmtId="166" fontId="15" fillId="0" borderId="0" xfId="0" applyNumberFormat="1" applyFont="1" applyAlignment="1">
      <alignment/>
    </xf>
    <xf numFmtId="0" fontId="15" fillId="0" borderId="2" xfId="0" applyFont="1" applyBorder="1" applyAlignment="1">
      <alignment horizontal="center"/>
    </xf>
    <xf numFmtId="0" fontId="15" fillId="0" borderId="0" xfId="0" applyFont="1" applyBorder="1" applyAlignment="1">
      <alignment horizontal="center"/>
    </xf>
    <xf numFmtId="0" fontId="15" fillId="0" borderId="1" xfId="0" applyFont="1" applyBorder="1" applyAlignment="1">
      <alignment horizontal="center"/>
    </xf>
    <xf numFmtId="15" fontId="15" fillId="0" borderId="2" xfId="0" applyNumberFormat="1" applyFont="1" applyBorder="1" applyAlignment="1">
      <alignment/>
    </xf>
    <xf numFmtId="0" fontId="15" fillId="0" borderId="2" xfId="0" applyFont="1" applyBorder="1" applyAlignment="1">
      <alignment/>
    </xf>
    <xf numFmtId="15" fontId="15" fillId="0" borderId="0" xfId="0" applyNumberFormat="1" applyFont="1" applyAlignment="1">
      <alignment/>
    </xf>
    <xf numFmtId="0" fontId="17" fillId="0" borderId="1" xfId="0" applyFont="1" applyBorder="1" applyAlignment="1" quotePrefix="1">
      <alignment horizontal="center"/>
    </xf>
    <xf numFmtId="165" fontId="15" fillId="0" borderId="3" xfId="0" applyNumberFormat="1" applyFont="1" applyBorder="1" applyAlignment="1">
      <alignment horizontal="center"/>
    </xf>
    <xf numFmtId="165" fontId="15" fillId="0" borderId="4" xfId="0" applyNumberFormat="1" applyFont="1" applyBorder="1" applyAlignment="1">
      <alignment horizontal="center"/>
    </xf>
    <xf numFmtId="0" fontId="17" fillId="0" borderId="0" xfId="0" applyFont="1" applyAlignment="1">
      <alignment horizontal="center"/>
    </xf>
    <xf numFmtId="165" fontId="17" fillId="0" borderId="0" xfId="0" applyNumberFormat="1" applyFont="1" applyAlignment="1">
      <alignment horizontal="center"/>
    </xf>
    <xf numFmtId="165" fontId="17" fillId="0" borderId="0" xfId="0" applyNumberFormat="1" applyFont="1" applyAlignment="1">
      <alignment/>
    </xf>
    <xf numFmtId="0" fontId="17" fillId="0" borderId="5" xfId="0" applyFont="1" applyBorder="1" applyAlignment="1">
      <alignment horizontal="center"/>
    </xf>
    <xf numFmtId="0" fontId="15" fillId="0" borderId="0" xfId="0" applyFont="1" applyAlignment="1">
      <alignment horizontal="center"/>
    </xf>
    <xf numFmtId="0" fontId="15" fillId="0" borderId="0" xfId="0" applyFont="1" applyAlignment="1">
      <alignment vertical="top" wrapText="1"/>
    </xf>
    <xf numFmtId="0" fontId="15" fillId="0" borderId="0" xfId="0" applyFont="1" applyAlignment="1">
      <alignment horizontal="right"/>
    </xf>
    <xf numFmtId="15" fontId="15" fillId="0" borderId="2" xfId="0" applyNumberFormat="1" applyFont="1" applyBorder="1" applyAlignment="1">
      <alignment horizontal="center"/>
    </xf>
    <xf numFmtId="0" fontId="15" fillId="0" borderId="6" xfId="0" applyFont="1" applyBorder="1" applyAlignment="1">
      <alignment/>
    </xf>
    <xf numFmtId="0" fontId="15" fillId="0" borderId="7" xfId="0" applyFont="1" applyBorder="1" applyAlignment="1">
      <alignment horizontal="right"/>
    </xf>
    <xf numFmtId="0" fontId="15" fillId="0" borderId="7" xfId="0" applyFont="1" applyBorder="1" applyAlignment="1">
      <alignment/>
    </xf>
    <xf numFmtId="0" fontId="15" fillId="0" borderId="3" xfId="0" applyFont="1" applyBorder="1" applyAlignment="1">
      <alignment horizontal="right"/>
    </xf>
    <xf numFmtId="0" fontId="15" fillId="0" borderId="0" xfId="0" applyFont="1" applyBorder="1" applyAlignment="1">
      <alignment/>
    </xf>
    <xf numFmtId="165" fontId="15" fillId="0" borderId="0" xfId="0" applyNumberFormat="1" applyFont="1" applyBorder="1" applyAlignment="1">
      <alignment horizontal="center"/>
    </xf>
    <xf numFmtId="0" fontId="15" fillId="0" borderId="8" xfId="0" applyFont="1" applyBorder="1" applyAlignment="1">
      <alignment/>
    </xf>
    <xf numFmtId="0" fontId="15" fillId="0" borderId="9" xfId="0" applyFont="1" applyBorder="1" applyAlignment="1">
      <alignment/>
    </xf>
    <xf numFmtId="0" fontId="15" fillId="0" borderId="10" xfId="0" applyFont="1" applyBorder="1" applyAlignment="1">
      <alignment/>
    </xf>
    <xf numFmtId="165" fontId="15" fillId="0" borderId="0" xfId="0" applyNumberFormat="1" applyFont="1" applyAlignment="1">
      <alignment/>
    </xf>
    <xf numFmtId="168" fontId="15" fillId="0" borderId="0" xfId="0" applyNumberFormat="1" applyFont="1" applyAlignment="1">
      <alignment/>
    </xf>
    <xf numFmtId="165" fontId="15" fillId="0" borderId="0" xfId="0" applyNumberFormat="1" applyFont="1" applyAlignment="1">
      <alignment horizontal="center"/>
    </xf>
    <xf numFmtId="165" fontId="15" fillId="0" borderId="3" xfId="0" applyNumberFormat="1" applyFont="1" applyBorder="1" applyAlignment="1">
      <alignment/>
    </xf>
    <xf numFmtId="165" fontId="15" fillId="0" borderId="4" xfId="0" applyNumberFormat="1" applyFont="1" applyBorder="1" applyAlignment="1">
      <alignment/>
    </xf>
    <xf numFmtId="165" fontId="15" fillId="0" borderId="0" xfId="0" applyNumberFormat="1" applyFont="1" applyAlignment="1">
      <alignment horizontal="right"/>
    </xf>
    <xf numFmtId="0" fontId="15" fillId="0" borderId="3" xfId="0" applyFont="1" applyBorder="1" applyAlignment="1">
      <alignment/>
    </xf>
    <xf numFmtId="0" fontId="15" fillId="0" borderId="4" xfId="0" applyFont="1" applyBorder="1" applyAlignment="1">
      <alignment/>
    </xf>
    <xf numFmtId="167" fontId="15" fillId="0" borderId="0" xfId="0" applyNumberFormat="1" applyFont="1" applyAlignment="1">
      <alignment/>
    </xf>
    <xf numFmtId="2" fontId="15" fillId="0" borderId="0" xfId="0" applyNumberFormat="1" applyFont="1" applyAlignment="1">
      <alignment horizontal="center"/>
    </xf>
    <xf numFmtId="0" fontId="20" fillId="0" borderId="0" xfId="0" applyFont="1" applyAlignment="1">
      <alignment/>
    </xf>
    <xf numFmtId="0" fontId="20" fillId="0" borderId="0" xfId="0" applyFont="1" applyAlignment="1">
      <alignment horizontal="center"/>
    </xf>
    <xf numFmtId="0" fontId="20" fillId="0" borderId="0" xfId="0" applyFont="1" applyAlignment="1">
      <alignment horizontal="right"/>
    </xf>
    <xf numFmtId="0" fontId="6" fillId="0" borderId="0" xfId="0" applyFont="1" applyAlignment="1">
      <alignment horizontal="centerContinuous" vertical="center" wrapText="1"/>
    </xf>
    <xf numFmtId="0" fontId="0" fillId="0" borderId="0" xfId="0" applyAlignment="1">
      <alignment horizontal="centerContinuous" vertical="center"/>
    </xf>
    <xf numFmtId="0" fontId="21" fillId="0" borderId="0" xfId="0" applyFont="1" applyAlignment="1">
      <alignment horizontal="centerContinuous"/>
    </xf>
    <xf numFmtId="0" fontId="0" fillId="0" borderId="0" xfId="0" applyAlignment="1">
      <alignment horizontal="center"/>
    </xf>
    <xf numFmtId="0" fontId="0" fillId="0" borderId="0" xfId="0" applyAlignment="1">
      <alignment wrapText="1"/>
    </xf>
    <xf numFmtId="1" fontId="0" fillId="0" borderId="0" xfId="0" applyNumberFormat="1" applyAlignment="1">
      <alignment/>
    </xf>
    <xf numFmtId="10" fontId="0" fillId="0" borderId="0" xfId="0" applyNumberFormat="1" applyAlignment="1">
      <alignment/>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 xfId="0" applyBorder="1" applyAlignment="1">
      <alignment horizontal="center"/>
    </xf>
    <xf numFmtId="0" fontId="0" fillId="0" borderId="14" xfId="0" applyBorder="1" applyAlignment="1">
      <alignment horizontal="center"/>
    </xf>
    <xf numFmtId="0" fontId="1" fillId="0" borderId="15" xfId="0" applyFont="1" applyBorder="1" applyAlignment="1">
      <alignment horizontal="centerContinuous"/>
    </xf>
    <xf numFmtId="0" fontId="0" fillId="0" borderId="1" xfId="0" applyBorder="1" applyAlignment="1">
      <alignment horizontal="centerContinuous"/>
    </xf>
    <xf numFmtId="0" fontId="0" fillId="0" borderId="16" xfId="0" applyBorder="1" applyAlignment="1">
      <alignment horizontal="centerContinuous"/>
    </xf>
    <xf numFmtId="0" fontId="0" fillId="0" borderId="17" xfId="0" applyBorder="1" applyAlignment="1">
      <alignment horizontal="center"/>
    </xf>
    <xf numFmtId="0" fontId="0" fillId="0" borderId="18" xfId="0" applyBorder="1" applyAlignment="1">
      <alignment horizontal="center"/>
    </xf>
    <xf numFmtId="0" fontId="21" fillId="0" borderId="0" xfId="0" applyFont="1" applyAlignment="1">
      <alignment/>
    </xf>
    <xf numFmtId="0" fontId="6" fillId="0" borderId="1" xfId="0" applyFont="1" applyBorder="1" applyAlignment="1" applyProtection="1">
      <alignment horizontal="center"/>
      <protection locked="0"/>
    </xf>
    <xf numFmtId="0" fontId="1" fillId="0" borderId="1" xfId="0" applyFont="1" applyBorder="1" applyAlignment="1" applyProtection="1">
      <alignment horizontal="centerContinuous" wrapText="1"/>
      <protection locked="0"/>
    </xf>
    <xf numFmtId="0" fontId="0" fillId="0" borderId="1" xfId="0" applyBorder="1" applyAlignment="1" applyProtection="1">
      <alignment horizontal="centerContinuous" wrapText="1"/>
      <protection locked="0"/>
    </xf>
    <xf numFmtId="15" fontId="6" fillId="0" borderId="2" xfId="0" applyNumberFormat="1" applyFont="1" applyBorder="1" applyAlignment="1" applyProtection="1" quotePrefix="1">
      <alignment horizontal="center"/>
      <protection locked="0"/>
    </xf>
    <xf numFmtId="165" fontId="0" fillId="2" borderId="0" xfId="0" applyNumberFormat="1" applyFill="1" applyAlignment="1" applyProtection="1">
      <alignment/>
      <protection/>
    </xf>
    <xf numFmtId="165" fontId="0" fillId="2" borderId="0" xfId="0" applyNumberFormat="1" applyFill="1" applyAlignment="1">
      <alignment/>
    </xf>
    <xf numFmtId="0" fontId="0" fillId="2" borderId="0" xfId="0" applyFill="1" applyAlignment="1">
      <alignment/>
    </xf>
    <xf numFmtId="1" fontId="0" fillId="2" borderId="0" xfId="0" applyNumberFormat="1" applyFill="1" applyAlignment="1">
      <alignment/>
    </xf>
    <xf numFmtId="10" fontId="0" fillId="2" borderId="0" xfId="0" applyNumberFormat="1" applyFill="1" applyAlignment="1">
      <alignment/>
    </xf>
    <xf numFmtId="0" fontId="6" fillId="2" borderId="0" xfId="0" applyFont="1" applyFill="1" applyAlignment="1">
      <alignment/>
    </xf>
    <xf numFmtId="164" fontId="7" fillId="2" borderId="0" xfId="0" applyNumberFormat="1" applyFont="1" applyFill="1" applyAlignment="1">
      <alignment/>
    </xf>
    <xf numFmtId="2" fontId="7" fillId="2" borderId="0" xfId="0" applyNumberFormat="1" applyFont="1" applyFill="1" applyAlignment="1">
      <alignment/>
    </xf>
    <xf numFmtId="0" fontId="5" fillId="2" borderId="0" xfId="0" applyFont="1" applyFill="1" applyAlignment="1">
      <alignment/>
    </xf>
    <xf numFmtId="164" fontId="6" fillId="2" borderId="0" xfId="0" applyNumberFormat="1" applyFont="1" applyFill="1" applyAlignment="1">
      <alignment/>
    </xf>
    <xf numFmtId="2" fontId="6" fillId="2" borderId="0" xfId="0" applyNumberFormat="1" applyFont="1" applyFill="1" applyAlignment="1">
      <alignment/>
    </xf>
    <xf numFmtId="0" fontId="7" fillId="2" borderId="0" xfId="0" applyFont="1" applyFill="1" applyAlignment="1">
      <alignment/>
    </xf>
    <xf numFmtId="14" fontId="0" fillId="0" borderId="0" xfId="0" applyNumberFormat="1" applyAlignment="1">
      <alignment/>
    </xf>
    <xf numFmtId="0" fontId="0" fillId="0" borderId="19" xfId="0" applyBorder="1" applyAlignment="1">
      <alignment horizontal="center"/>
    </xf>
    <xf numFmtId="0" fontId="0" fillId="0" borderId="20" xfId="0" applyBorder="1" applyAlignment="1">
      <alignment/>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xf>
    <xf numFmtId="171" fontId="0" fillId="0" borderId="0" xfId="0" applyNumberFormat="1" applyBorder="1" applyAlignment="1">
      <alignment horizontal="center"/>
    </xf>
    <xf numFmtId="171" fontId="0" fillId="0" borderId="21" xfId="0" applyNumberFormat="1" applyBorder="1" applyAlignment="1">
      <alignment horizontal="center"/>
    </xf>
    <xf numFmtId="0" fontId="0" fillId="0" borderId="22" xfId="0" applyBorder="1" applyAlignment="1">
      <alignment/>
    </xf>
    <xf numFmtId="171" fontId="0" fillId="0" borderId="22" xfId="0" applyNumberFormat="1" applyBorder="1" applyAlignment="1">
      <alignment horizontal="center"/>
    </xf>
    <xf numFmtId="171" fontId="0" fillId="0" borderId="23" xfId="0" applyNumberFormat="1" applyBorder="1" applyAlignment="1">
      <alignment horizontal="center"/>
    </xf>
    <xf numFmtId="2" fontId="0" fillId="0" borderId="0" xfId="0" applyNumberFormat="1" applyAlignment="1">
      <alignment horizont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6" xfId="0" applyBorder="1" applyAlignment="1">
      <alignment horizontal="center"/>
    </xf>
    <xf numFmtId="0" fontId="0" fillId="0" borderId="7" xfId="0" applyBorder="1" applyAlignment="1">
      <alignment horizontal="center"/>
    </xf>
    <xf numFmtId="0" fontId="0" fillId="0" borderId="27"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27" xfId="0" applyFill="1" applyBorder="1" applyAlignment="1">
      <alignment horizontal="center"/>
    </xf>
    <xf numFmtId="0" fontId="0" fillId="0" borderId="3" xfId="0" applyBorder="1" applyAlignment="1">
      <alignment horizontal="center"/>
    </xf>
    <xf numFmtId="2" fontId="0" fillId="0" borderId="0" xfId="0" applyNumberFormat="1" applyBorder="1" applyAlignment="1">
      <alignment horizontal="center"/>
    </xf>
    <xf numFmtId="2" fontId="0" fillId="0" borderId="4" xfId="0" applyNumberFormat="1" applyBorder="1" applyAlignment="1">
      <alignment horizontal="center"/>
    </xf>
    <xf numFmtId="0" fontId="0" fillId="0" borderId="8" xfId="0" applyBorder="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0" fontId="0" fillId="0" borderId="10" xfId="0" applyBorder="1" applyAlignment="1">
      <alignment horizontal="center"/>
    </xf>
    <xf numFmtId="0" fontId="1" fillId="0" borderId="0" xfId="0" applyFont="1" applyAlignment="1">
      <alignment/>
    </xf>
    <xf numFmtId="171" fontId="0" fillId="2" borderId="0" xfId="0" applyNumberFormat="1" applyFill="1" applyBorder="1" applyAlignment="1">
      <alignment horizontal="center"/>
    </xf>
    <xf numFmtId="171" fontId="0" fillId="2" borderId="21" xfId="0" applyNumberFormat="1" applyFill="1" applyBorder="1" applyAlignment="1">
      <alignment horizontal="center"/>
    </xf>
    <xf numFmtId="0" fontId="0" fillId="2" borderId="21" xfId="0" applyFill="1" applyBorder="1" applyAlignment="1">
      <alignment horizontal="center"/>
    </xf>
    <xf numFmtId="171" fontId="0" fillId="2" borderId="23" xfId="0" applyNumberFormat="1" applyFill="1" applyBorder="1" applyAlignment="1">
      <alignment horizontal="center"/>
    </xf>
    <xf numFmtId="171" fontId="0" fillId="2" borderId="22" xfId="0" applyNumberFormat="1" applyFill="1" applyBorder="1" applyAlignment="1">
      <alignment horizontal="center"/>
    </xf>
    <xf numFmtId="0" fontId="0" fillId="2" borderId="0" xfId="0" applyFill="1" applyBorder="1" applyAlignment="1">
      <alignment horizontal="center"/>
    </xf>
    <xf numFmtId="2" fontId="0" fillId="2" borderId="0" xfId="0" applyNumberFormat="1" applyFill="1" applyAlignment="1">
      <alignment horizontal="center"/>
    </xf>
    <xf numFmtId="0" fontId="0" fillId="2" borderId="0" xfId="0" applyFill="1" applyAlignment="1">
      <alignment horizontal="center"/>
    </xf>
    <xf numFmtId="2" fontId="0" fillId="2" borderId="0" xfId="0" applyNumberFormat="1" applyFill="1" applyBorder="1" applyAlignment="1">
      <alignment horizontal="center"/>
    </xf>
    <xf numFmtId="2" fontId="0" fillId="2" borderId="9" xfId="0" applyNumberFormat="1" applyFill="1" applyBorder="1" applyAlignment="1">
      <alignment horizontal="center"/>
    </xf>
    <xf numFmtId="2" fontId="0" fillId="2" borderId="4" xfId="0" applyNumberFormat="1" applyFill="1" applyBorder="1" applyAlignment="1">
      <alignment horizontal="center"/>
    </xf>
    <xf numFmtId="2" fontId="0" fillId="2" borderId="10" xfId="0" applyNumberFormat="1" applyFill="1" applyBorder="1" applyAlignment="1">
      <alignment horizontal="center"/>
    </xf>
    <xf numFmtId="0" fontId="0" fillId="0" borderId="0" xfId="0" applyFill="1" applyBorder="1" applyAlignment="1">
      <alignment horizontal="center"/>
    </xf>
    <xf numFmtId="0" fontId="0" fillId="0" borderId="0" xfId="0" applyBorder="1" applyAlignment="1" applyProtection="1">
      <alignment horizontal="center"/>
      <protection locked="0"/>
    </xf>
    <xf numFmtId="0" fontId="0" fillId="0" borderId="0" xfId="0" applyFill="1" applyAlignment="1">
      <alignment/>
    </xf>
    <xf numFmtId="0" fontId="0" fillId="0" borderId="0" xfId="0" applyAlignment="1" applyProtection="1">
      <alignment horizontal="left"/>
      <protection/>
    </xf>
    <xf numFmtId="0" fontId="0" fillId="0" borderId="0" xfId="0" applyAlignment="1" applyProtection="1">
      <alignment/>
      <protection/>
    </xf>
    <xf numFmtId="0" fontId="17" fillId="0" borderId="2" xfId="0" applyNumberFormat="1" applyFont="1" applyBorder="1" applyAlignment="1" quotePrefix="1">
      <alignment horizontal="center"/>
    </xf>
    <xf numFmtId="0" fontId="15" fillId="3" borderId="1" xfId="0" applyFont="1" applyFill="1" applyBorder="1" applyAlignment="1" applyProtection="1">
      <alignment horizontal="center"/>
      <protection locked="0"/>
    </xf>
    <xf numFmtId="15" fontId="15" fillId="3" borderId="2" xfId="0" applyNumberFormat="1" applyFont="1" applyFill="1" applyBorder="1" applyAlignment="1" applyProtection="1">
      <alignment horizontal="center"/>
      <protection locked="0"/>
    </xf>
    <xf numFmtId="165" fontId="7" fillId="3" borderId="2" xfId="0" applyNumberFormat="1" applyFont="1" applyFill="1" applyBorder="1" applyAlignment="1" applyProtection="1">
      <alignment horizontal="center"/>
      <protection locked="0"/>
    </xf>
    <xf numFmtId="164" fontId="5" fillId="3" borderId="0" xfId="0" applyNumberFormat="1" applyFont="1" applyFill="1" applyAlignment="1" applyProtection="1">
      <alignment/>
      <protection locked="0"/>
    </xf>
    <xf numFmtId="0" fontId="5" fillId="3" borderId="0" xfId="0" applyFont="1" applyFill="1" applyAlignment="1" applyProtection="1">
      <alignment/>
      <protection locked="0"/>
    </xf>
    <xf numFmtId="0" fontId="0" fillId="3" borderId="19" xfId="0" applyFill="1" applyBorder="1" applyAlignment="1" applyProtection="1">
      <alignment horizontal="center"/>
      <protection locked="0"/>
    </xf>
    <xf numFmtId="0" fontId="5" fillId="3" borderId="0" xfId="0" applyFont="1" applyFill="1" applyAlignment="1">
      <alignment/>
    </xf>
    <xf numFmtId="0" fontId="15" fillId="3" borderId="0" xfId="0" applyFont="1" applyFill="1" applyAlignment="1">
      <alignment/>
    </xf>
    <xf numFmtId="0" fontId="15" fillId="3" borderId="0" xfId="0" applyFont="1" applyFill="1" applyAlignment="1" applyProtection="1">
      <alignment/>
      <protection locked="0"/>
    </xf>
    <xf numFmtId="0" fontId="15" fillId="0" borderId="0" xfId="0" applyFont="1" applyAlignment="1" applyProtection="1">
      <alignment/>
      <protection/>
    </xf>
    <xf numFmtId="0" fontId="15" fillId="3" borderId="2" xfId="0" applyFont="1" applyFill="1" applyBorder="1" applyAlignment="1" applyProtection="1">
      <alignment/>
      <protection locked="0"/>
    </xf>
    <xf numFmtId="0" fontId="15" fillId="3" borderId="1" xfId="0" applyFont="1" applyFill="1" applyBorder="1" applyAlignment="1" applyProtection="1">
      <alignment/>
      <protection locked="0"/>
    </xf>
    <xf numFmtId="0" fontId="5" fillId="0" borderId="0" xfId="0" applyFont="1" applyAlignment="1" applyProtection="1">
      <alignment/>
      <protection/>
    </xf>
    <xf numFmtId="15" fontId="15" fillId="0" borderId="0" xfId="0" applyNumberFormat="1" applyFont="1" applyBorder="1" applyAlignment="1">
      <alignment horizontal="center"/>
    </xf>
    <xf numFmtId="0" fontId="0" fillId="0" borderId="0" xfId="0" applyAlignment="1" quotePrefix="1">
      <alignment horizontal="left"/>
    </xf>
    <xf numFmtId="0" fontId="0" fillId="3" borderId="19" xfId="0" applyFill="1" applyBorder="1" applyAlignment="1" applyProtection="1">
      <alignment/>
      <protection locked="0"/>
    </xf>
    <xf numFmtId="0" fontId="1" fillId="4" borderId="19" xfId="0" applyFont="1" applyFill="1" applyBorder="1" applyAlignment="1">
      <alignment horizontal="center"/>
    </xf>
    <xf numFmtId="0" fontId="1" fillId="4" borderId="0" xfId="0" applyFont="1" applyFill="1" applyAlignment="1">
      <alignment horizontal="center"/>
    </xf>
    <xf numFmtId="0" fontId="0" fillId="0" borderId="19" xfId="0" applyBorder="1" applyAlignment="1" applyProtection="1">
      <alignment/>
      <protection locked="0"/>
    </xf>
    <xf numFmtId="165" fontId="38" fillId="0" borderId="0" xfId="0" applyNumberFormat="1" applyFont="1" applyAlignment="1">
      <alignment/>
    </xf>
    <xf numFmtId="0" fontId="38" fillId="0" borderId="0" xfId="0" applyFont="1" applyAlignment="1">
      <alignment/>
    </xf>
    <xf numFmtId="0" fontId="38" fillId="0" borderId="0" xfId="0" applyFont="1" applyAlignment="1">
      <alignment horizontal="center"/>
    </xf>
    <xf numFmtId="165" fontId="38" fillId="0" borderId="0" xfId="0" applyNumberFormat="1" applyFont="1" applyFill="1" applyAlignment="1">
      <alignment/>
    </xf>
    <xf numFmtId="49" fontId="0" fillId="0" borderId="0" xfId="0" applyNumberFormat="1" applyAlignment="1" applyProtection="1">
      <alignment/>
      <protection locked="0"/>
    </xf>
    <xf numFmtId="0" fontId="5" fillId="0" borderId="1" xfId="0" applyFont="1" applyBorder="1" applyAlignment="1">
      <alignment horizontal="center"/>
    </xf>
    <xf numFmtId="165" fontId="5" fillId="0" borderId="2" xfId="0" applyNumberFormat="1" applyFont="1" applyBorder="1" applyAlignment="1">
      <alignment horizontal="center"/>
    </xf>
    <xf numFmtId="165" fontId="15" fillId="3" borderId="1" xfId="0" applyNumberFormat="1" applyFont="1" applyFill="1" applyBorder="1" applyAlignment="1" applyProtection="1">
      <alignment horizontal="center"/>
      <protection locked="0"/>
    </xf>
    <xf numFmtId="165" fontId="15" fillId="0" borderId="0" xfId="0" applyNumberFormat="1" applyFont="1" applyAlignment="1">
      <alignment horizontal="center"/>
    </xf>
    <xf numFmtId="0" fontId="15" fillId="0" borderId="0" xfId="0" applyFont="1" applyAlignment="1">
      <alignment horizontal="center"/>
    </xf>
    <xf numFmtId="165" fontId="15" fillId="0" borderId="28" xfId="0" applyNumberFormat="1" applyFont="1" applyBorder="1" applyAlignment="1">
      <alignment horizontal="center"/>
    </xf>
    <xf numFmtId="165" fontId="15" fillId="0" borderId="29" xfId="0" applyNumberFormat="1" applyFont="1" applyBorder="1" applyAlignment="1">
      <alignment horizontal="center"/>
    </xf>
    <xf numFmtId="165" fontId="15" fillId="3" borderId="30" xfId="0" applyNumberFormat="1" applyFont="1" applyFill="1" applyBorder="1" applyAlignment="1" applyProtection="1">
      <alignment horizontal="center"/>
      <protection locked="0"/>
    </xf>
    <xf numFmtId="0" fontId="5" fillId="3" borderId="2" xfId="0" applyFont="1" applyFill="1" applyBorder="1" applyAlignment="1" applyProtection="1">
      <alignment horizontal="center"/>
      <protection locked="0"/>
    </xf>
    <xf numFmtId="0" fontId="5" fillId="3" borderId="1" xfId="0" applyFont="1" applyFill="1" applyBorder="1" applyAlignment="1" applyProtection="1">
      <alignment horizontal="center"/>
      <protection locked="0"/>
    </xf>
    <xf numFmtId="165" fontId="5" fillId="3" borderId="1" xfId="0" applyNumberFormat="1" applyFont="1" applyFill="1" applyBorder="1" applyAlignment="1" applyProtection="1">
      <alignment horizontal="center"/>
      <protection locked="0"/>
    </xf>
    <xf numFmtId="165" fontId="5" fillId="3" borderId="2" xfId="0" applyNumberFormat="1" applyFont="1" applyFill="1" applyBorder="1" applyAlignment="1" applyProtection="1">
      <alignment horizontal="center"/>
      <protection locked="0"/>
    </xf>
    <xf numFmtId="165" fontId="9" fillId="0" borderId="0" xfId="0" applyNumberFormat="1" applyFont="1" applyAlignment="1">
      <alignment horizontal="center"/>
    </xf>
    <xf numFmtId="0" fontId="5" fillId="0" borderId="0" xfId="0" applyFont="1" applyBorder="1" applyAlignment="1">
      <alignment horizontal="center"/>
    </xf>
    <xf numFmtId="165" fontId="5" fillId="0" borderId="1" xfId="0" applyNumberFormat="1" applyFont="1" applyBorder="1" applyAlignment="1">
      <alignment horizontal="center"/>
    </xf>
    <xf numFmtId="0" fontId="5" fillId="0" borderId="2" xfId="0" applyFont="1" applyBorder="1" applyAlignment="1">
      <alignment horizontal="center"/>
    </xf>
    <xf numFmtId="49" fontId="18" fillId="0" borderId="0" xfId="0" applyNumberFormat="1" applyFont="1" applyAlignment="1">
      <alignment horizontal="center"/>
    </xf>
    <xf numFmtId="49" fontId="0" fillId="0" borderId="0" xfId="0" applyNumberFormat="1" applyAlignment="1">
      <alignment horizontal="center"/>
    </xf>
    <xf numFmtId="0" fontId="17" fillId="3" borderId="1" xfId="0" applyFont="1" applyFill="1" applyBorder="1" applyAlignment="1" applyProtection="1">
      <alignment horizontal="center"/>
      <protection locked="0"/>
    </xf>
    <xf numFmtId="15" fontId="17" fillId="0" borderId="0" xfId="0" applyNumberFormat="1" applyFont="1" applyBorder="1" applyAlignment="1" quotePrefix="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1" xfId="0" applyFont="1" applyBorder="1" applyAlignment="1">
      <alignment horizontal="center"/>
    </xf>
    <xf numFmtId="0" fontId="21" fillId="2" borderId="0" xfId="0" applyFont="1" applyFill="1" applyAlignment="1">
      <alignment horizontal="left"/>
    </xf>
    <xf numFmtId="0" fontId="0" fillId="0" borderId="0" xfId="0" applyAlignment="1">
      <alignment horizontal="left"/>
    </xf>
    <xf numFmtId="0" fontId="1" fillId="3" borderId="1" xfId="0" applyFont="1" applyFill="1" applyBorder="1" applyAlignment="1" applyProtection="1">
      <alignment horizontal="left" wrapText="1"/>
      <protection locked="0"/>
    </xf>
    <xf numFmtId="15" fontId="6" fillId="3" borderId="2" xfId="0" applyNumberFormat="1" applyFont="1" applyFill="1" applyBorder="1" applyAlignment="1" applyProtection="1">
      <alignment horizontal="left"/>
      <protection locked="0"/>
    </xf>
    <xf numFmtId="15" fontId="6" fillId="3" borderId="2" xfId="0" applyNumberFormat="1" applyFont="1" applyFill="1" applyBorder="1" applyAlignment="1" applyProtection="1" quotePrefix="1">
      <alignment horizontal="left"/>
      <protection locked="0"/>
    </xf>
    <xf numFmtId="0" fontId="6" fillId="3" borderId="1" xfId="0" applyFont="1" applyFill="1" applyBorder="1" applyAlignment="1" applyProtection="1">
      <alignment horizontal="left"/>
      <protection locked="0"/>
    </xf>
    <xf numFmtId="0" fontId="6" fillId="3" borderId="1" xfId="0" applyFont="1" applyFill="1" applyBorder="1" applyAlignment="1">
      <alignment horizontal="left"/>
    </xf>
    <xf numFmtId="0" fontId="6" fillId="3" borderId="1" xfId="0" applyFont="1" applyFill="1" applyBorder="1" applyAlignment="1" applyProtection="1">
      <alignment horizontal="center"/>
      <protection locked="0"/>
    </xf>
    <xf numFmtId="0" fontId="0" fillId="0" borderId="0" xfId="0" applyAlignment="1">
      <alignment horizontal="center"/>
    </xf>
    <xf numFmtId="0" fontId="8" fillId="0" borderId="0" xfId="0" applyFont="1" applyAlignment="1">
      <alignment horizontal="center"/>
    </xf>
    <xf numFmtId="0" fontId="6" fillId="3" borderId="2" xfId="0" applyFont="1" applyFill="1" applyBorder="1" applyAlignment="1" applyProtection="1">
      <alignment horizontal="center"/>
      <protection locked="0"/>
    </xf>
    <xf numFmtId="0" fontId="6" fillId="3" borderId="1" xfId="0" applyFont="1" applyFill="1" applyBorder="1" applyAlignment="1" applyProtection="1" quotePrefix="1">
      <alignment horizontal="center"/>
      <protection locked="0"/>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6" fillId="0" borderId="1" xfId="0" applyFont="1" applyBorder="1" applyAlignment="1" applyProtection="1" quotePrefix="1">
      <alignment horizontal="center"/>
      <protection locked="0"/>
    </xf>
    <xf numFmtId="165" fontId="15" fillId="3" borderId="31" xfId="0" applyNumberFormat="1" applyFont="1" applyFill="1" applyBorder="1" applyAlignment="1" applyProtection="1">
      <alignment horizontal="center"/>
      <protection locked="0"/>
    </xf>
    <xf numFmtId="165" fontId="15" fillId="0" borderId="3" xfId="0" applyNumberFormat="1" applyFont="1" applyBorder="1" applyAlignment="1">
      <alignment horizontal="center"/>
    </xf>
    <xf numFmtId="165" fontId="15" fillId="0" borderId="4" xfId="0" applyNumberFormat="1" applyFont="1" applyBorder="1" applyAlignment="1">
      <alignment horizontal="center"/>
    </xf>
    <xf numFmtId="165" fontId="15" fillId="0" borderId="8" xfId="0" applyNumberFormat="1" applyFont="1" applyBorder="1" applyAlignment="1">
      <alignment horizontal="center"/>
    </xf>
    <xf numFmtId="165" fontId="15" fillId="0" borderId="10" xfId="0" applyNumberFormat="1" applyFont="1" applyBorder="1" applyAlignment="1">
      <alignment horizontal="center"/>
    </xf>
    <xf numFmtId="0" fontId="15" fillId="0" borderId="6" xfId="0" applyFont="1" applyBorder="1" applyAlignment="1">
      <alignment horizontal="center"/>
    </xf>
    <xf numFmtId="0" fontId="15" fillId="0" borderId="27" xfId="0" applyFont="1" applyBorder="1" applyAlignment="1">
      <alignment horizontal="center"/>
    </xf>
    <xf numFmtId="0" fontId="15" fillId="3" borderId="2" xfId="0" applyFont="1" applyFill="1" applyBorder="1" applyAlignment="1" applyProtection="1">
      <alignment horizontal="center"/>
      <protection locked="0"/>
    </xf>
    <xf numFmtId="0" fontId="15" fillId="3" borderId="1" xfId="0" applyFont="1" applyFill="1" applyBorder="1" applyAlignment="1" applyProtection="1">
      <alignment horizontal="center"/>
      <protection locked="0"/>
    </xf>
    <xf numFmtId="165" fontId="15" fillId="3" borderId="28" xfId="0" applyNumberFormat="1" applyFont="1" applyFill="1" applyBorder="1" applyAlignment="1" applyProtection="1">
      <alignment horizontal="center"/>
      <protection locked="0"/>
    </xf>
    <xf numFmtId="165" fontId="15" fillId="3" borderId="29" xfId="0" applyNumberFormat="1" applyFont="1" applyFill="1" applyBorder="1" applyAlignment="1" applyProtection="1">
      <alignment horizontal="center"/>
      <protection locked="0"/>
    </xf>
    <xf numFmtId="0" fontId="15" fillId="0" borderId="7" xfId="0" applyFont="1" applyBorder="1" applyAlignment="1">
      <alignment horizontal="center"/>
    </xf>
    <xf numFmtId="165" fontId="15" fillId="3" borderId="3" xfId="0" applyNumberFormat="1" applyFont="1" applyFill="1" applyBorder="1" applyAlignment="1" applyProtection="1">
      <alignment horizontal="center"/>
      <protection locked="0"/>
    </xf>
    <xf numFmtId="165" fontId="15" fillId="3" borderId="4" xfId="0" applyNumberFormat="1" applyFont="1" applyFill="1" applyBorder="1" applyAlignment="1" applyProtection="1">
      <alignment horizontal="center"/>
      <protection locked="0"/>
    </xf>
    <xf numFmtId="165" fontId="15" fillId="3" borderId="0" xfId="0" applyNumberFormat="1" applyFont="1" applyFill="1" applyBorder="1" applyAlignment="1" applyProtection="1">
      <alignment horizontal="center"/>
      <protection locked="0"/>
    </xf>
    <xf numFmtId="0" fontId="15" fillId="0" borderId="4" xfId="0" applyFont="1" applyBorder="1" applyAlignment="1">
      <alignment horizontal="center"/>
    </xf>
    <xf numFmtId="165" fontId="15" fillId="3" borderId="2" xfId="0" applyNumberFormat="1" applyFont="1" applyFill="1" applyBorder="1" applyAlignment="1" applyProtection="1">
      <alignment horizontal="center"/>
      <protection locked="0"/>
    </xf>
    <xf numFmtId="0" fontId="19" fillId="0" borderId="0" xfId="0" applyFont="1" applyAlignment="1">
      <alignment horizontal="center"/>
    </xf>
    <xf numFmtId="165" fontId="15" fillId="0" borderId="30" xfId="0" applyNumberFormat="1" applyFont="1" applyBorder="1" applyAlignment="1">
      <alignment horizontal="center"/>
    </xf>
    <xf numFmtId="165" fontId="15" fillId="0" borderId="31" xfId="0" applyNumberFormat="1" applyFont="1" applyBorder="1" applyAlignment="1">
      <alignment horizontal="center"/>
    </xf>
    <xf numFmtId="165" fontId="15" fillId="0" borderId="1" xfId="0" applyNumberFormat="1" applyFont="1" applyBorder="1" applyAlignment="1">
      <alignment horizontal="center"/>
    </xf>
    <xf numFmtId="165" fontId="15" fillId="0" borderId="2" xfId="0" applyNumberFormat="1" applyFont="1" applyBorder="1" applyAlignment="1">
      <alignment horizontal="center"/>
    </xf>
    <xf numFmtId="0" fontId="15" fillId="0" borderId="1" xfId="0" applyFont="1" applyBorder="1" applyAlignment="1">
      <alignment horizontal="center"/>
    </xf>
    <xf numFmtId="165" fontId="15" fillId="0" borderId="0" xfId="0" applyNumberFormat="1" applyFont="1" applyBorder="1" applyAlignment="1">
      <alignment horizontal="center"/>
    </xf>
    <xf numFmtId="15" fontId="15" fillId="0" borderId="2" xfId="0" applyNumberFormat="1" applyFont="1" applyBorder="1" applyAlignment="1">
      <alignment horizontal="center"/>
    </xf>
    <xf numFmtId="49" fontId="15" fillId="0" borderId="1" xfId="0" applyNumberFormat="1" applyFont="1" applyBorder="1" applyAlignment="1">
      <alignment horizontal="center"/>
    </xf>
    <xf numFmtId="0" fontId="15" fillId="0" borderId="2" xfId="0" applyFont="1" applyBorder="1" applyAlignment="1">
      <alignment horizontal="center"/>
    </xf>
    <xf numFmtId="15" fontId="6" fillId="3" borderId="2" xfId="0" applyNumberFormat="1" applyFont="1" applyFill="1" applyBorder="1" applyAlignment="1" applyProtection="1">
      <alignment horizontal="center"/>
      <protection locked="0"/>
    </xf>
    <xf numFmtId="0" fontId="0" fillId="0" borderId="0" xfId="0" applyAlignment="1">
      <alignment/>
    </xf>
    <xf numFmtId="0" fontId="7" fillId="0" borderId="0" xfId="0" applyFont="1" applyAlignment="1">
      <alignment horizontal="center"/>
    </xf>
    <xf numFmtId="0" fontId="6" fillId="0" borderId="2" xfId="0" applyFont="1" applyBorder="1" applyAlignment="1">
      <alignment horizontal="center"/>
    </xf>
    <xf numFmtId="15" fontId="6" fillId="0" borderId="2" xfId="0" applyNumberFormat="1" applyFont="1" applyBorder="1" applyAlignment="1">
      <alignment horizontal="center"/>
    </xf>
    <xf numFmtId="0" fontId="6" fillId="0" borderId="1" xfId="0" applyFont="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0" xfId="0" applyBorder="1" applyAlignment="1">
      <alignment horizontal="center"/>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wrapText="1"/>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7" fillId="0" borderId="0" xfId="0" applyFont="1" applyAlignment="1">
      <alignment horizontal="left"/>
    </xf>
    <xf numFmtId="0" fontId="0" fillId="3" borderId="1" xfId="0" applyFill="1" applyBorder="1" applyAlignment="1" applyProtection="1">
      <alignment horizontal="center"/>
      <protection locked="0"/>
    </xf>
    <xf numFmtId="0" fontId="0" fillId="3" borderId="2" xfId="0" applyFill="1" applyBorder="1" applyAlignment="1" applyProtection="1">
      <alignment horizontal="center"/>
      <protection locked="0"/>
    </xf>
    <xf numFmtId="14" fontId="0" fillId="3" borderId="1" xfId="0" applyNumberFormat="1" applyFill="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Stacked Average Chart</a:t>
            </a:r>
          </a:p>
        </c:rich>
      </c:tx>
      <c:layout/>
      <c:spPr>
        <a:noFill/>
        <a:ln>
          <a:noFill/>
        </a:ln>
      </c:spPr>
    </c:title>
    <c:plotArea>
      <c:layout/>
      <c:lineChart>
        <c:grouping val="standard"/>
        <c:varyColors val="0"/>
        <c:ser>
          <c:idx val="1"/>
          <c:order val="0"/>
          <c:tx>
            <c:strRef>
              <c:f>'Gage R &amp; R'!$A$11</c:f>
              <c:strCache>
                <c:ptCount val="1"/>
                <c:pt idx="0">
                  <c:v>Appraiser A</c:v>
                </c:pt>
              </c:strCache>
            </c:strRef>
          </c:tx>
          <c:extLst>
            <c:ext xmlns:c14="http://schemas.microsoft.com/office/drawing/2007/8/2/chart" uri="{6F2FDCE9-48DA-4B69-8628-5D25D57E5C99}">
              <c14:invertSolidFillFmt>
                <c14:spPr>
                  <a:solidFill>
                    <a:srgbClr val="000000"/>
                  </a:solidFill>
                </c14:spPr>
              </c14:invertSolidFillFmt>
            </c:ext>
          </c:extLst>
          <c:val>
            <c:numRef>
              <c:f>'Gage R &amp; R'!$C$14:$L$14</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'Gage R &amp; R'!$A$17</c:f>
              <c:strCache>
                <c:ptCount val="1"/>
                <c:pt idx="0">
                  <c:v>Appraiser B</c:v>
                </c:pt>
              </c:strCache>
            </c:strRef>
          </c:tx>
          <c:extLst>
            <c:ext xmlns:c14="http://schemas.microsoft.com/office/drawing/2007/8/2/chart" uri="{6F2FDCE9-48DA-4B69-8628-5D25D57E5C99}">
              <c14:invertSolidFillFmt>
                <c14:spPr>
                  <a:solidFill>
                    <a:srgbClr val="000000"/>
                  </a:solidFill>
                </c14:spPr>
              </c14:invertSolidFillFmt>
            </c:ext>
          </c:extLst>
          <c:val>
            <c:numRef>
              <c:f>'Gage R &amp; R'!$C$20:$L$20</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2"/>
          <c:tx>
            <c:strRef>
              <c:f>'Gage R &amp; R'!$A$23</c:f>
              <c:strCache>
                <c:ptCount val="1"/>
                <c:pt idx="0">
                  <c:v>Appraiser C</c:v>
                </c:pt>
              </c:strCache>
            </c:strRef>
          </c:tx>
          <c:extLst>
            <c:ext xmlns:c14="http://schemas.microsoft.com/office/drawing/2007/8/2/chart" uri="{6F2FDCE9-48DA-4B69-8628-5D25D57E5C99}">
              <c14:invertSolidFillFmt>
                <c14:spPr>
                  <a:solidFill>
                    <a:srgbClr val="000000"/>
                  </a:solidFill>
                </c14:spPr>
              </c14:invertSolidFillFmt>
            </c:ext>
          </c:extLst>
          <c:val>
            <c:numRef>
              <c:f>'Gage R &amp; R'!$C$26:$L$26</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3"/>
          <c:tx>
            <c:strRef>
              <c:f>'Gage R &amp; R'!$A$28</c:f>
              <c:strCache>
                <c:ptCount val="1"/>
                <c:pt idx="0">
                  <c:v>UCL</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'Gage R &amp; R'!$C$28:$L$28</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4"/>
          <c:tx>
            <c:strRef>
              <c:f>'Gage R &amp; R'!$A$29</c:f>
              <c:strCache>
                <c:ptCount val="1"/>
                <c:pt idx="0">
                  <c:v>LCL</c:v>
                </c:pt>
              </c:strCache>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'Gage R &amp; R'!$C$29:$L$29</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23576481"/>
        <c:axId val="10861738"/>
      </c:lineChart>
      <c:catAx>
        <c:axId val="23576481"/>
        <c:scaling>
          <c:orientation val="minMax"/>
        </c:scaling>
        <c:axPos val="b"/>
        <c:title>
          <c:tx>
            <c:rich>
              <a:bodyPr vert="horz" rot="0" anchor="ctr"/>
              <a:lstStyle/>
              <a:p>
                <a:pPr algn="ctr">
                  <a:defRPr/>
                </a:pPr>
                <a:r>
                  <a:rPr lang="en-US" cap="none" sz="1000" b="1" i="0" u="none" baseline="0"/>
                  <a:t>Part Reading</a:t>
                </a:r>
              </a:p>
            </c:rich>
          </c:tx>
          <c:layout/>
          <c:overlay val="0"/>
          <c:spPr>
            <a:noFill/>
            <a:ln>
              <a:noFill/>
            </a:ln>
          </c:spPr>
        </c:title>
        <c:delete val="0"/>
        <c:numFmt formatCode="General" sourceLinked="1"/>
        <c:majorTickMark val="out"/>
        <c:minorTickMark val="none"/>
        <c:tickLblPos val="nextTo"/>
        <c:crossAx val="10861738"/>
        <c:crosses val="autoZero"/>
        <c:auto val="0"/>
        <c:lblOffset val="100"/>
        <c:tickLblSkip val="1"/>
        <c:noMultiLvlLbl val="0"/>
      </c:catAx>
      <c:valAx>
        <c:axId val="10861738"/>
        <c:scaling>
          <c:orientation val="minMax"/>
        </c:scaling>
        <c:axPos val="l"/>
        <c:title>
          <c:tx>
            <c:rich>
              <a:bodyPr vert="horz" rot="-5400000" anchor="ctr"/>
              <a:lstStyle/>
              <a:p>
                <a:pPr algn="ctr">
                  <a:defRPr/>
                </a:pPr>
                <a:r>
                  <a:rPr lang="en-US" cap="none" sz="1000" b="1" i="0" u="none" baseline="0"/>
                  <a:t>Average</a:t>
                </a:r>
              </a:p>
            </c:rich>
          </c:tx>
          <c:layout/>
          <c:overlay val="0"/>
          <c:spPr>
            <a:noFill/>
            <a:ln>
              <a:noFill/>
            </a:ln>
          </c:spPr>
        </c:title>
        <c:delete val="0"/>
        <c:numFmt formatCode="General" sourceLinked="1"/>
        <c:majorTickMark val="out"/>
        <c:minorTickMark val="none"/>
        <c:tickLblPos val="nextTo"/>
        <c:crossAx val="23576481"/>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'Gage R &amp; R Example'!$A$11</c:f>
              <c:strCache>
                <c:ptCount val="1"/>
                <c:pt idx="0">
                  <c:v>Appraiser A</c:v>
                </c:pt>
              </c:strCache>
            </c:strRef>
          </c:tx>
          <c:extLst>
            <c:ext xmlns:c14="http://schemas.microsoft.com/office/drawing/2007/8/2/chart" uri="{6F2FDCE9-48DA-4B69-8628-5D25D57E5C99}">
              <c14:invertSolidFillFmt>
                <c14:spPr>
                  <a:solidFill>
                    <a:srgbClr val="000000"/>
                  </a:solidFill>
                </c14:spPr>
              </c14:invertSolidFillFmt>
            </c:ext>
          </c:extLst>
          <c:val>
            <c:numRef>
              <c:f>'Gage R &amp; R Example'!$C$14:$L$14</c:f>
              <c:numCache>
                <c:ptCount val="10"/>
                <c:pt idx="0">
                  <c:v>0</c:v>
                </c:pt>
                <c:pt idx="1">
                  <c:v>0</c:v>
                </c:pt>
                <c:pt idx="2">
                  <c:v>0</c:v>
                </c:pt>
                <c:pt idx="3">
                  <c:v>0</c:v>
                </c:pt>
                <c:pt idx="4">
                  <c:v>0</c:v>
                </c:pt>
                <c:pt idx="5">
                  <c:v>0</c:v>
                </c:pt>
                <c:pt idx="6">
                  <c:v>0</c:v>
                </c:pt>
                <c:pt idx="7">
                  <c:v>0</c:v>
                </c:pt>
                <c:pt idx="8">
                  <c:v>0</c:v>
                </c:pt>
                <c:pt idx="9">
                  <c:v>0</c:v>
                </c:pt>
              </c:numCache>
            </c:numRef>
          </c:val>
          <c:smooth val="0"/>
        </c:ser>
        <c:ser>
          <c:idx val="0"/>
          <c:order val="1"/>
          <c:tx>
            <c:strRef>
              <c:f>'Gage R &amp; R Example'!$A$17</c:f>
              <c:strCache>
                <c:ptCount val="1"/>
                <c:pt idx="0">
                  <c:v>Appraiser B</c:v>
                </c:pt>
              </c:strCache>
            </c:strRef>
          </c:tx>
          <c:extLst>
            <c:ext xmlns:c14="http://schemas.microsoft.com/office/drawing/2007/8/2/chart" uri="{6F2FDCE9-48DA-4B69-8628-5D25D57E5C99}">
              <c14:invertSolidFillFmt>
                <c14:spPr>
                  <a:solidFill>
                    <a:srgbClr val="000000"/>
                  </a:solidFill>
                </c14:spPr>
              </c14:invertSolidFillFmt>
            </c:ext>
          </c:extLst>
          <c:val>
            <c:numRef>
              <c:f>'Gage R &amp; R Example'!$C$20:$L$20</c:f>
              <c:numCache>
                <c:ptCount val="10"/>
                <c:pt idx="0">
                  <c:v>0</c:v>
                </c:pt>
                <c:pt idx="1">
                  <c:v>0</c:v>
                </c:pt>
                <c:pt idx="2">
                  <c:v>0</c:v>
                </c:pt>
                <c:pt idx="3">
                  <c:v>0</c:v>
                </c:pt>
                <c:pt idx="4">
                  <c:v>0</c:v>
                </c:pt>
                <c:pt idx="5">
                  <c:v>0</c:v>
                </c:pt>
                <c:pt idx="6">
                  <c:v>0</c:v>
                </c:pt>
                <c:pt idx="7">
                  <c:v>0</c:v>
                </c:pt>
                <c:pt idx="8">
                  <c:v>0</c:v>
                </c:pt>
                <c:pt idx="9">
                  <c:v>0</c:v>
                </c:pt>
              </c:numCache>
            </c:numRef>
          </c:val>
          <c:smooth val="0"/>
        </c:ser>
        <c:ser>
          <c:idx val="4"/>
          <c:order val="2"/>
          <c:tx>
            <c:strRef>
              <c:f>'Gage R &amp; R Example'!$A$23</c:f>
              <c:strCache>
                <c:ptCount val="1"/>
                <c:pt idx="0">
                  <c:v>Appraiser C</c:v>
                </c:pt>
              </c:strCache>
            </c:strRef>
          </c:tx>
          <c:extLst>
            <c:ext xmlns:c14="http://schemas.microsoft.com/office/drawing/2007/8/2/chart" uri="{6F2FDCE9-48DA-4B69-8628-5D25D57E5C99}">
              <c14:invertSolidFillFmt>
                <c14:spPr>
                  <a:solidFill>
                    <a:srgbClr val="000000"/>
                  </a:solidFill>
                </c14:spPr>
              </c14:invertSolidFillFmt>
            </c:ext>
          </c:extLst>
          <c:val>
            <c:numRef>
              <c:f>'Gage R &amp; R Example'!$C$26:$L$26</c:f>
              <c:numCache>
                <c:ptCount val="10"/>
                <c:pt idx="0">
                  <c:v>0</c:v>
                </c:pt>
                <c:pt idx="1">
                  <c:v>0</c:v>
                </c:pt>
                <c:pt idx="2">
                  <c:v>0</c:v>
                </c:pt>
                <c:pt idx="3">
                  <c:v>0</c:v>
                </c:pt>
                <c:pt idx="4">
                  <c:v>0</c:v>
                </c:pt>
                <c:pt idx="5">
                  <c:v>0</c:v>
                </c:pt>
                <c:pt idx="6">
                  <c:v>0</c:v>
                </c:pt>
                <c:pt idx="7">
                  <c:v>0</c:v>
                </c:pt>
                <c:pt idx="8">
                  <c:v>0</c:v>
                </c:pt>
                <c:pt idx="9">
                  <c:v>0</c:v>
                </c:pt>
              </c:numCache>
            </c:numRef>
          </c:val>
          <c:smooth val="0"/>
        </c:ser>
        <c:ser>
          <c:idx val="2"/>
          <c:order val="3"/>
          <c:tx>
            <c:strRef>
              <c:f>'Gage R &amp; R Example'!$A$31</c:f>
              <c:strCache>
                <c:ptCount val="1"/>
                <c:pt idx="0">
                  <c:v>UCL</c:v>
                </c:pt>
              </c:strCache>
            </c:strRef>
          </c:tx>
          <c:extLst>
            <c:ext xmlns:c14="http://schemas.microsoft.com/office/drawing/2007/8/2/chart" uri="{6F2FDCE9-48DA-4B69-8628-5D25D57E5C99}">
              <c14:invertSolidFillFmt>
                <c14:spPr>
                  <a:solidFill>
                    <a:srgbClr val="000000"/>
                  </a:solidFill>
                </c14:spPr>
              </c14:invertSolidFillFmt>
            </c:ext>
          </c:extLst>
          <c:val>
            <c:numRef>
              <c:f>'Gage R &amp; R Example'!$C$31:$L$31</c:f>
              <c:numCache>
                <c:ptCount val="10"/>
                <c:pt idx="0">
                  <c:v>0</c:v>
                </c:pt>
                <c:pt idx="1">
                  <c:v>0</c:v>
                </c:pt>
                <c:pt idx="2">
                  <c:v>0</c:v>
                </c:pt>
                <c:pt idx="3">
                  <c:v>0</c:v>
                </c:pt>
                <c:pt idx="4">
                  <c:v>0</c:v>
                </c:pt>
                <c:pt idx="5">
                  <c:v>0</c:v>
                </c:pt>
                <c:pt idx="6">
                  <c:v>0</c:v>
                </c:pt>
                <c:pt idx="7">
                  <c:v>0</c:v>
                </c:pt>
                <c:pt idx="8">
                  <c:v>0</c:v>
                </c:pt>
                <c:pt idx="9">
                  <c:v>0</c:v>
                </c:pt>
              </c:numCache>
            </c:numRef>
          </c:val>
          <c:smooth val="0"/>
        </c:ser>
        <c:ser>
          <c:idx val="3"/>
          <c:order val="4"/>
          <c:tx>
            <c:strRef>
              <c:f>'Gage R &amp; R Example'!$A$32</c:f>
              <c:strCache>
                <c:ptCount val="1"/>
                <c:pt idx="0">
                  <c:v>LCL</c:v>
                </c:pt>
              </c:strCache>
            </c:strRef>
          </c:tx>
          <c:extLst>
            <c:ext xmlns:c14="http://schemas.microsoft.com/office/drawing/2007/8/2/chart" uri="{6F2FDCE9-48DA-4B69-8628-5D25D57E5C99}">
              <c14:invertSolidFillFmt>
                <c14:spPr>
                  <a:solidFill>
                    <a:srgbClr val="000000"/>
                  </a:solidFill>
                </c14:spPr>
              </c14:invertSolidFillFmt>
            </c:ext>
          </c:extLst>
          <c:val>
            <c:numRef>
              <c:f>'Gage R &amp; R Example'!$C$32:$L$32</c:f>
              <c:numCache>
                <c:ptCount val="10"/>
                <c:pt idx="0">
                  <c:v>0</c:v>
                </c:pt>
                <c:pt idx="1">
                  <c:v>0</c:v>
                </c:pt>
                <c:pt idx="2">
                  <c:v>0</c:v>
                </c:pt>
                <c:pt idx="3">
                  <c:v>0</c:v>
                </c:pt>
                <c:pt idx="4">
                  <c:v>0</c:v>
                </c:pt>
                <c:pt idx="5">
                  <c:v>0</c:v>
                </c:pt>
                <c:pt idx="6">
                  <c:v>0</c:v>
                </c:pt>
                <c:pt idx="7">
                  <c:v>0</c:v>
                </c:pt>
                <c:pt idx="8">
                  <c:v>0</c:v>
                </c:pt>
                <c:pt idx="9">
                  <c:v>0</c:v>
                </c:pt>
              </c:numCache>
            </c:numRef>
          </c:val>
          <c:smooth val="0"/>
        </c:ser>
        <c:marker val="1"/>
        <c:axId val="30646779"/>
        <c:axId val="7385556"/>
      </c:lineChart>
      <c:catAx>
        <c:axId val="30646779"/>
        <c:scaling>
          <c:orientation val="minMax"/>
        </c:scaling>
        <c:axPos val="b"/>
        <c:delete val="0"/>
        <c:numFmt formatCode="General" sourceLinked="1"/>
        <c:majorTickMark val="out"/>
        <c:minorTickMark val="none"/>
        <c:tickLblPos val="nextTo"/>
        <c:crossAx val="7385556"/>
        <c:crosses val="autoZero"/>
        <c:auto val="0"/>
        <c:lblOffset val="100"/>
        <c:tickLblSkip val="1"/>
        <c:noMultiLvlLbl val="0"/>
      </c:catAx>
      <c:valAx>
        <c:axId val="7385556"/>
        <c:scaling>
          <c:orientation val="minMax"/>
        </c:scaling>
        <c:axPos val="l"/>
        <c:delete val="0"/>
        <c:numFmt formatCode="General" sourceLinked="1"/>
        <c:majorTickMark val="out"/>
        <c:minorTickMark val="none"/>
        <c:tickLblPos val="nextTo"/>
        <c:crossAx val="30646779"/>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0" b="1" i="0" u="none" baseline="0"/>
              <a:t>Linearity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Linearity!$D$78:$D$137</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Linearity!$E$78:$E$137</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ser>
        <c:axId val="66470005"/>
        <c:axId val="61359134"/>
      </c:scatterChart>
      <c:valAx>
        <c:axId val="66470005"/>
        <c:scaling>
          <c:orientation val="minMax"/>
        </c:scaling>
        <c:axPos val="b"/>
        <c:delete val="0"/>
        <c:numFmt formatCode="General" sourceLinked="1"/>
        <c:majorTickMark val="out"/>
        <c:minorTickMark val="none"/>
        <c:tickLblPos val="nextTo"/>
        <c:crossAx val="61359134"/>
        <c:crosses val="autoZero"/>
        <c:crossBetween val="midCat"/>
        <c:dispUnits/>
      </c:valAx>
      <c:valAx>
        <c:axId val="61359134"/>
        <c:scaling>
          <c:orientation val="minMax"/>
        </c:scaling>
        <c:axPos val="l"/>
        <c:majorGridlines/>
        <c:delete val="0"/>
        <c:numFmt formatCode="General" sourceLinked="1"/>
        <c:majorTickMark val="out"/>
        <c:minorTickMark val="none"/>
        <c:tickLblPos val="nextTo"/>
        <c:crossAx val="6647000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425"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t>Linearity Plot</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dispEq val="1"/>
            <c:dispRSqr val="1"/>
            <c:trendlineLbl>
              <c:layout>
                <c:manualLayout>
                  <c:x val="0"/>
                  <c:y val="0"/>
                </c:manualLayout>
              </c:layout>
              <c:numFmt formatCode="General"/>
            </c:trendlineLbl>
          </c:trendline>
          <c:xVal>
            <c:numRef>
              <c:f>'Linearity Example'!$D$78:$D$137</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xVal>
          <c:yVal>
            <c:numRef>
              <c:f>'Linearity Example'!$E$78:$E$137</c:f>
              <c:numCach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yVal>
          <c:smooth val="0"/>
        </c:ser>
        <c:axId val="15361295"/>
        <c:axId val="4033928"/>
      </c:scatterChart>
      <c:valAx>
        <c:axId val="15361295"/>
        <c:scaling>
          <c:orientation val="minMax"/>
        </c:scaling>
        <c:axPos val="b"/>
        <c:title>
          <c:tx>
            <c:rich>
              <a:bodyPr vert="horz" rot="0" anchor="ctr"/>
              <a:lstStyle/>
              <a:p>
                <a:pPr algn="ctr">
                  <a:defRPr/>
                </a:pPr>
                <a:r>
                  <a:rPr lang="en-US" cap="none" sz="1200" b="1" i="0" u="none" baseline="0"/>
                  <a:t>Reference Value</a:t>
                </a:r>
              </a:p>
            </c:rich>
          </c:tx>
          <c:layout/>
          <c:overlay val="0"/>
          <c:spPr>
            <a:noFill/>
            <a:ln>
              <a:noFill/>
            </a:ln>
          </c:spPr>
        </c:title>
        <c:delete val="0"/>
        <c:numFmt formatCode="General" sourceLinked="1"/>
        <c:majorTickMark val="out"/>
        <c:minorTickMark val="none"/>
        <c:tickLblPos val="nextTo"/>
        <c:crossAx val="4033928"/>
        <c:crosses val="autoZero"/>
        <c:crossBetween val="midCat"/>
        <c:dispUnits/>
      </c:valAx>
      <c:valAx>
        <c:axId val="4033928"/>
        <c:scaling>
          <c:orientation val="minMax"/>
        </c:scaling>
        <c:axPos val="l"/>
        <c:majorGridlines/>
        <c:delete val="0"/>
        <c:numFmt formatCode="General" sourceLinked="1"/>
        <c:majorTickMark val="out"/>
        <c:minorTickMark val="none"/>
        <c:tickLblPos val="nextTo"/>
        <c:crossAx val="15361295"/>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45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t>X Bar Chart For Stability</a:t>
            </a:r>
          </a:p>
        </c:rich>
      </c:tx>
      <c:layout/>
      <c:spPr>
        <a:noFill/>
        <a:ln>
          <a:noFill/>
        </a:ln>
      </c:spPr>
    </c:title>
    <c:plotArea>
      <c:layout>
        <c:manualLayout>
          <c:xMode val="edge"/>
          <c:yMode val="edge"/>
          <c:x val="0.03875"/>
          <c:y val="0.0795"/>
          <c:w val="0.82975"/>
          <c:h val="0.8335"/>
        </c:manualLayout>
      </c:layout>
      <c:lineChart>
        <c:grouping val="standard"/>
        <c:varyColors val="0"/>
        <c:ser>
          <c:idx val="0"/>
          <c:order val="0"/>
          <c:tx>
            <c:v>Sample Averages</c:v>
          </c:tx>
          <c:extLst>
            <c:ext xmlns:c14="http://schemas.microsoft.com/office/drawing/2007/8/2/chart" uri="{6F2FDCE9-48DA-4B69-8628-5D25D57E5C99}">
              <c14:invertSolidFillFmt>
                <c14:spPr>
                  <a:solidFill>
                    <a:srgbClr val="000000"/>
                  </a:solidFill>
                </c14:spPr>
              </c14:invertSolidFillFmt>
            </c:ext>
          </c:extLst>
          <c:cat>
            <c:strRef>
              <c:f>Stability!$D$9:$W$9</c:f>
              <c:strCache/>
            </c:strRef>
          </c:cat>
          <c:val>
            <c:numRef>
              <c:f>Stability!$D$15:$W$15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v>UCL</c:v>
          </c:tx>
          <c:extLst>
            <c:ext xmlns:c14="http://schemas.microsoft.com/office/drawing/2007/8/2/chart" uri="{6F2FDCE9-48DA-4B69-8628-5D25D57E5C99}">
              <c14:invertSolidFillFmt>
                <c14:spPr>
                  <a:solidFill>
                    <a:srgbClr val="000000"/>
                  </a:solidFill>
                </c14:spPr>
              </c14:invertSolidFillFmt>
            </c:ext>
          </c:extLst>
          <c:val>
            <c:numRef>
              <c:f>Stability!$D$22:$W$22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v>LCL</c:v>
          </c:tx>
          <c:extLst>
            <c:ext xmlns:c14="http://schemas.microsoft.com/office/drawing/2007/8/2/chart" uri="{6F2FDCE9-48DA-4B69-8628-5D25D57E5C99}">
              <c14:invertSolidFillFmt>
                <c14:spPr>
                  <a:solidFill>
                    <a:srgbClr val="000000"/>
                  </a:solidFill>
                </c14:spPr>
              </c14:invertSolidFillFmt>
            </c:ext>
          </c:extLst>
          <c:val>
            <c:numRef>
              <c:f>Stability!$D$23:$W$23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36305353"/>
        <c:axId val="58312722"/>
      </c:lineChart>
      <c:catAx>
        <c:axId val="36305353"/>
        <c:scaling>
          <c:orientation val="minMax"/>
        </c:scaling>
        <c:axPos val="b"/>
        <c:title>
          <c:tx>
            <c:rich>
              <a:bodyPr vert="horz" rot="0" anchor="ctr"/>
              <a:lstStyle/>
              <a:p>
                <a:pPr algn="ctr">
                  <a:defRPr/>
                </a:pPr>
                <a:r>
                  <a:rPr lang="en-US" cap="none" sz="1150" b="1" i="0" u="none" baseline="0"/>
                  <a:t>Days</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pPr>
          </a:p>
        </c:txPr>
        <c:crossAx val="58312722"/>
        <c:crosses val="autoZero"/>
        <c:auto val="1"/>
        <c:lblOffset val="100"/>
        <c:noMultiLvlLbl val="0"/>
      </c:catAx>
      <c:valAx>
        <c:axId val="58312722"/>
        <c:scaling>
          <c:orientation val="minMax"/>
        </c:scaling>
        <c:axPos val="l"/>
        <c:title>
          <c:tx>
            <c:rich>
              <a:bodyPr vert="horz" rot="-5400000" anchor="ctr"/>
              <a:lstStyle/>
              <a:p>
                <a:pPr algn="ctr">
                  <a:defRPr/>
                </a:pPr>
                <a:r>
                  <a:rPr lang="en-US" cap="none" sz="1150" b="1" i="0" u="none" baseline="0"/>
                  <a:t>Sample Mean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pPr>
          </a:p>
        </c:txPr>
        <c:crossAx val="36305353"/>
        <c:crossesAt val="1"/>
        <c:crossBetween val="between"/>
        <c:dispUnits/>
      </c:valAx>
      <c:spPr>
        <a:solidFill>
          <a:srgbClr val="C0C0C0"/>
        </a:solidFill>
        <a:ln w="12700">
          <a:solidFill>
            <a:srgbClr val="808080"/>
          </a:solidFill>
        </a:ln>
      </c:spPr>
    </c:plotArea>
    <c:legend>
      <c:legendPos val="r"/>
      <c:layout>
        <c:manualLayout>
          <c:xMode val="edge"/>
          <c:yMode val="edge"/>
          <c:x val="0.87925"/>
          <c:y val="0.76275"/>
          <c:w val="0.12075"/>
          <c:h val="0.23725"/>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6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t>Range Chart For Stability</a:t>
            </a:r>
          </a:p>
        </c:rich>
      </c:tx>
      <c:layout>
        <c:manualLayout>
          <c:xMode val="factor"/>
          <c:yMode val="factor"/>
          <c:x val="-0.00175"/>
          <c:y val="-0.01025"/>
        </c:manualLayout>
      </c:layout>
      <c:spPr>
        <a:noFill/>
        <a:ln>
          <a:noFill/>
        </a:ln>
      </c:spPr>
    </c:title>
    <c:plotArea>
      <c:layout>
        <c:manualLayout>
          <c:xMode val="edge"/>
          <c:yMode val="edge"/>
          <c:x val="0.04825"/>
          <c:y val="0.148"/>
          <c:w val="0.8205"/>
          <c:h val="0.7275"/>
        </c:manualLayout>
      </c:layout>
      <c:lineChart>
        <c:grouping val="standard"/>
        <c:varyColors val="0"/>
        <c:ser>
          <c:idx val="0"/>
          <c:order val="0"/>
          <c:tx>
            <c:v>Sample Ranges</c:v>
          </c:tx>
          <c:extLst>
            <c:ext xmlns:c14="http://schemas.microsoft.com/office/drawing/2007/8/2/chart" uri="{6F2FDCE9-48DA-4B69-8628-5D25D57E5C99}">
              <c14:invertSolidFillFmt>
                <c14:spPr>
                  <a:solidFill>
                    <a:srgbClr val="000000"/>
                  </a:solidFill>
                </c14:spPr>
              </c14:invertSolidFillFmt>
            </c:ext>
          </c:extLst>
          <c:cat>
            <c:strRef>
              <c:f>Stability!$D$9:$W$9</c:f>
              <c:strCache/>
            </c:strRef>
          </c:cat>
          <c:val>
            <c:numRef>
              <c:f>Stability!$D$16:$W$16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v>UCL</c:v>
          </c:tx>
          <c:extLst>
            <c:ext xmlns:c14="http://schemas.microsoft.com/office/drawing/2007/8/2/chart" uri="{6F2FDCE9-48DA-4B69-8628-5D25D57E5C99}">
              <c14:invertSolidFillFmt>
                <c14:spPr>
                  <a:solidFill>
                    <a:srgbClr val="000000"/>
                  </a:solidFill>
                </c14:spPr>
              </c14:invertSolidFillFmt>
            </c:ext>
          </c:extLst>
          <c:val>
            <c:numRef>
              <c:f>Stability!$D$20:$W$20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v>LCL</c:v>
          </c:tx>
          <c:extLst>
            <c:ext xmlns:c14="http://schemas.microsoft.com/office/drawing/2007/8/2/chart" uri="{6F2FDCE9-48DA-4B69-8628-5D25D57E5C99}">
              <c14:invertSolidFillFmt>
                <c14:spPr>
                  <a:solidFill>
                    <a:srgbClr val="000000"/>
                  </a:solidFill>
                </c14:spPr>
              </c14:invertSolidFillFmt>
            </c:ext>
          </c:extLst>
          <c:val>
            <c:numRef>
              <c:f>Stability!$D$21:$W$21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55052451"/>
        <c:axId val="25710012"/>
      </c:lineChart>
      <c:catAx>
        <c:axId val="55052451"/>
        <c:scaling>
          <c:orientation val="minMax"/>
        </c:scaling>
        <c:axPos val="b"/>
        <c:title>
          <c:tx>
            <c:rich>
              <a:bodyPr vert="horz" rot="0" anchor="ctr"/>
              <a:lstStyle/>
              <a:p>
                <a:pPr algn="ctr">
                  <a:defRPr/>
                </a:pPr>
                <a:r>
                  <a:rPr lang="en-US" cap="none" sz="1150" b="1" i="0" u="none" baseline="0"/>
                  <a:t>Days</a:t>
                </a:r>
              </a:p>
            </c:rich>
          </c:tx>
          <c:layout>
            <c:manualLayout>
              <c:xMode val="factor"/>
              <c:yMode val="factor"/>
              <c:x val="-0.00325"/>
              <c:y val="-0.00025"/>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pPr>
          </a:p>
        </c:txPr>
        <c:crossAx val="25710012"/>
        <c:crosses val="autoZero"/>
        <c:auto val="1"/>
        <c:lblOffset val="100"/>
        <c:noMultiLvlLbl val="0"/>
      </c:catAx>
      <c:valAx>
        <c:axId val="25710012"/>
        <c:scaling>
          <c:orientation val="minMax"/>
        </c:scaling>
        <c:axPos val="l"/>
        <c:title>
          <c:tx>
            <c:rich>
              <a:bodyPr vert="horz" rot="-5400000" anchor="ctr"/>
              <a:lstStyle/>
              <a:p>
                <a:pPr algn="ctr">
                  <a:defRPr/>
                </a:pPr>
                <a:r>
                  <a:rPr lang="en-US" cap="none" sz="1150" b="1" i="0" u="none" baseline="0"/>
                  <a:t>Sample Range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pPr>
          </a:p>
        </c:txPr>
        <c:crossAx val="55052451"/>
        <c:crossesAt val="1"/>
        <c:crossBetween val="between"/>
        <c:dispUnits/>
      </c:valAx>
      <c:spPr>
        <a:solidFill>
          <a:srgbClr val="C0C0C0"/>
        </a:solidFill>
        <a:ln w="12700">
          <a:solidFill>
            <a:srgbClr val="808080"/>
          </a:solidFill>
        </a:ln>
      </c:spPr>
    </c:plotArea>
    <c:legend>
      <c:legendPos val="r"/>
      <c:layout>
        <c:manualLayout>
          <c:xMode val="edge"/>
          <c:yMode val="edge"/>
          <c:x val="0.88475"/>
          <c:y val="0.74925"/>
          <c:w val="0.11525"/>
          <c:h val="0.25075"/>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4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t>X Bar Chart For Stability</a:t>
            </a:r>
          </a:p>
        </c:rich>
      </c:tx>
      <c:layout/>
      <c:spPr>
        <a:noFill/>
        <a:ln>
          <a:noFill/>
        </a:ln>
      </c:spPr>
    </c:title>
    <c:plotArea>
      <c:layout>
        <c:manualLayout>
          <c:xMode val="edge"/>
          <c:yMode val="edge"/>
          <c:x val="0.03725"/>
          <c:y val="0.102"/>
          <c:w val="0.8305"/>
          <c:h val="0.77375"/>
        </c:manualLayout>
      </c:layout>
      <c:lineChart>
        <c:grouping val="standard"/>
        <c:varyColors val="0"/>
        <c:ser>
          <c:idx val="0"/>
          <c:order val="0"/>
          <c:tx>
            <c:v>Sample Averages</c:v>
          </c:tx>
          <c:extLst>
            <c:ext xmlns:c14="http://schemas.microsoft.com/office/drawing/2007/8/2/chart" uri="{6F2FDCE9-48DA-4B69-8628-5D25D57E5C99}">
              <c14:invertSolidFillFmt>
                <c14:spPr>
                  <a:solidFill>
                    <a:srgbClr val="000000"/>
                  </a:solidFill>
                </c14:spPr>
              </c14:invertSolidFillFmt>
            </c:ext>
          </c:extLst>
          <c:cat>
            <c:strRef>
              <c:f>Stability!$D$9:$W$9</c:f>
              <c:strCache>
                <c:ptCount val="20"/>
                <c:pt idx="0">
                  <c:v>Day #1</c:v>
                </c:pt>
                <c:pt idx="1">
                  <c:v>Day #2</c:v>
                </c:pt>
                <c:pt idx="2">
                  <c:v>Day #3</c:v>
                </c:pt>
                <c:pt idx="3">
                  <c:v>Day # 4</c:v>
                </c:pt>
                <c:pt idx="4">
                  <c:v>Day #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'Stability Example'!$D$15:$W$15</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v>UCL</c:v>
          </c:tx>
          <c:extLst>
            <c:ext xmlns:c14="http://schemas.microsoft.com/office/drawing/2007/8/2/chart" uri="{6F2FDCE9-48DA-4B69-8628-5D25D57E5C99}">
              <c14:invertSolidFillFmt>
                <c14:spPr>
                  <a:solidFill>
                    <a:srgbClr val="000000"/>
                  </a:solidFill>
                </c14:spPr>
              </c14:invertSolidFillFmt>
            </c:ext>
          </c:extLst>
          <c:val>
            <c:numRef>
              <c:f>'Stability Example'!$D$22:$W$22</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v>LCL</c:v>
          </c:tx>
          <c:extLst>
            <c:ext xmlns:c14="http://schemas.microsoft.com/office/drawing/2007/8/2/chart" uri="{6F2FDCE9-48DA-4B69-8628-5D25D57E5C99}">
              <c14:invertSolidFillFmt>
                <c14:spPr>
                  <a:solidFill>
                    <a:srgbClr val="000000"/>
                  </a:solidFill>
                </c14:spPr>
              </c14:invertSolidFillFmt>
            </c:ext>
          </c:extLst>
          <c:val>
            <c:numRef>
              <c:f>'Stability Example'!$D$23:$W$23</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30063517"/>
        <c:axId val="2136198"/>
      </c:lineChart>
      <c:catAx>
        <c:axId val="30063517"/>
        <c:scaling>
          <c:orientation val="minMax"/>
        </c:scaling>
        <c:axPos val="b"/>
        <c:title>
          <c:tx>
            <c:rich>
              <a:bodyPr vert="horz" rot="0" anchor="ctr"/>
              <a:lstStyle/>
              <a:p>
                <a:pPr algn="ctr">
                  <a:defRPr/>
                </a:pPr>
                <a:r>
                  <a:rPr lang="en-US" cap="none" sz="1150" b="1" i="0" u="none" baseline="0"/>
                  <a:t>Days</a:t>
                </a:r>
              </a:p>
            </c:rich>
          </c:tx>
          <c:layout/>
          <c:overlay val="0"/>
          <c:spPr>
            <a:noFill/>
            <a:ln>
              <a:noFill/>
            </a:ln>
          </c:spPr>
        </c:title>
        <c:delete val="0"/>
        <c:numFmt formatCode="General" sourceLinked="1"/>
        <c:majorTickMark val="out"/>
        <c:minorTickMark val="none"/>
        <c:tickLblPos val="nextTo"/>
        <c:txPr>
          <a:bodyPr/>
          <a:lstStyle/>
          <a:p>
            <a:pPr>
              <a:defRPr lang="en-US" cap="none" sz="950" b="0" i="0" u="none" baseline="0"/>
            </a:pPr>
          </a:p>
        </c:txPr>
        <c:crossAx val="2136198"/>
        <c:crosses val="autoZero"/>
        <c:auto val="1"/>
        <c:lblOffset val="100"/>
        <c:noMultiLvlLbl val="0"/>
      </c:catAx>
      <c:valAx>
        <c:axId val="2136198"/>
        <c:scaling>
          <c:orientation val="minMax"/>
        </c:scaling>
        <c:axPos val="l"/>
        <c:title>
          <c:tx>
            <c:rich>
              <a:bodyPr vert="horz" rot="-5400000" anchor="ctr"/>
              <a:lstStyle/>
              <a:p>
                <a:pPr algn="ctr">
                  <a:defRPr/>
                </a:pPr>
                <a:r>
                  <a:rPr lang="en-US" cap="none" sz="1150" b="1" i="0" u="none" baseline="0"/>
                  <a:t>Sample Mean</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pPr>
          </a:p>
        </c:txPr>
        <c:crossAx val="30063517"/>
        <c:crossesAt val="1"/>
        <c:crossBetween val="between"/>
        <c:dispUnits/>
      </c:valAx>
      <c:spPr>
        <a:solidFill>
          <a:srgbClr val="C0C0C0"/>
        </a:solidFill>
        <a:ln w="12700">
          <a:solidFill>
            <a:srgbClr val="808080"/>
          </a:solidFill>
        </a:ln>
      </c:spPr>
    </c:plotArea>
    <c:legend>
      <c:legendPos val="r"/>
      <c:legendEntry>
        <c:idx val="0"/>
        <c:txPr>
          <a:bodyPr vert="horz" rot="0"/>
          <a:lstStyle/>
          <a:p>
            <a:pPr>
              <a:defRPr lang="en-US" cap="none" sz="1200" b="0" i="0" u="none" baseline="0"/>
            </a:pPr>
          </a:p>
        </c:txPr>
      </c:legendEntry>
      <c:legendEntry>
        <c:idx val="1"/>
        <c:txPr>
          <a:bodyPr vert="horz" rot="0"/>
          <a:lstStyle/>
          <a:p>
            <a:pPr>
              <a:defRPr lang="en-US" cap="none" sz="1200" b="0" i="0" u="none" baseline="0"/>
            </a:pPr>
          </a:p>
        </c:txPr>
      </c:legendEntry>
      <c:legendEntry>
        <c:idx val="2"/>
        <c:txPr>
          <a:bodyPr vert="horz" rot="0"/>
          <a:lstStyle/>
          <a:p>
            <a:pPr>
              <a:defRPr lang="en-US" cap="none" sz="1200" b="0" i="0" u="none" baseline="0"/>
            </a:pPr>
          </a:p>
        </c:txPr>
      </c:legendEntry>
      <c:layout>
        <c:manualLayout>
          <c:xMode val="edge"/>
          <c:yMode val="edge"/>
          <c:x val="0.883"/>
          <c:y val="0.66"/>
          <c:w val="0.117"/>
          <c:h val="0.34"/>
        </c:manualLayout>
      </c:layout>
      <c:overlay val="0"/>
    </c:legend>
    <c:plotVisOnly val="1"/>
    <c:dispBlanksAs val="gap"/>
    <c:showDLblsOverMax val="0"/>
  </c:chart>
  <c:txPr>
    <a:bodyPr vert="horz" rot="0"/>
    <a:lstStyle/>
    <a:p>
      <a:pPr>
        <a:defRPr lang="en-US" cap="none" sz="1875"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25" b="1" i="0" u="none" baseline="0"/>
              <a:t>Range Chart For Stability</a:t>
            </a:r>
          </a:p>
        </c:rich>
      </c:tx>
      <c:layout/>
      <c:spPr>
        <a:noFill/>
        <a:ln>
          <a:noFill/>
        </a:ln>
      </c:spPr>
    </c:title>
    <c:plotArea>
      <c:layout>
        <c:manualLayout>
          <c:xMode val="edge"/>
          <c:yMode val="edge"/>
          <c:x val="0.03375"/>
          <c:y val="0.176"/>
          <c:w val="0.835"/>
          <c:h val="0.72"/>
        </c:manualLayout>
      </c:layout>
      <c:lineChart>
        <c:grouping val="standard"/>
        <c:varyColors val="0"/>
        <c:ser>
          <c:idx val="0"/>
          <c:order val="0"/>
          <c:tx>
            <c:v>Sample Ranges</c:v>
          </c:tx>
          <c:extLst>
            <c:ext xmlns:c14="http://schemas.microsoft.com/office/drawing/2007/8/2/chart" uri="{6F2FDCE9-48DA-4B69-8628-5D25D57E5C99}">
              <c14:invertSolidFillFmt>
                <c14:spPr>
                  <a:solidFill>
                    <a:srgbClr val="000000"/>
                  </a:solidFill>
                </c14:spPr>
              </c14:invertSolidFillFmt>
            </c:ext>
          </c:extLst>
          <c:cat>
            <c:strRef>
              <c:f>Stability!$D$9:$W$9</c:f>
              <c:strCache>
                <c:ptCount val="20"/>
                <c:pt idx="0">
                  <c:v>Day #1</c:v>
                </c:pt>
                <c:pt idx="1">
                  <c:v>Day #2</c:v>
                </c:pt>
                <c:pt idx="2">
                  <c:v>Day #3</c:v>
                </c:pt>
                <c:pt idx="3">
                  <c:v>Day # 4</c:v>
                </c:pt>
                <c:pt idx="4">
                  <c:v>Day # 5</c:v>
                </c:pt>
                <c:pt idx="5">
                  <c:v>Day #6</c:v>
                </c:pt>
                <c:pt idx="6">
                  <c:v>Day #7</c:v>
                </c:pt>
                <c:pt idx="7">
                  <c:v>Day #8</c:v>
                </c:pt>
                <c:pt idx="8">
                  <c:v>Day #9</c:v>
                </c:pt>
                <c:pt idx="9">
                  <c:v>Day #10</c:v>
                </c:pt>
                <c:pt idx="10">
                  <c:v>Day #11</c:v>
                </c:pt>
                <c:pt idx="11">
                  <c:v>Day #12</c:v>
                </c:pt>
                <c:pt idx="12">
                  <c:v>Day #13</c:v>
                </c:pt>
                <c:pt idx="13">
                  <c:v>Day #14</c:v>
                </c:pt>
                <c:pt idx="14">
                  <c:v>Day #15</c:v>
                </c:pt>
                <c:pt idx="15">
                  <c:v>Day #16</c:v>
                </c:pt>
                <c:pt idx="16">
                  <c:v>Day #17</c:v>
                </c:pt>
                <c:pt idx="17">
                  <c:v>Day #18</c:v>
                </c:pt>
                <c:pt idx="18">
                  <c:v>Day #19</c:v>
                </c:pt>
                <c:pt idx="19">
                  <c:v>Day #20</c:v>
                </c:pt>
              </c:strCache>
            </c:strRef>
          </c:cat>
          <c:val>
            <c:numRef>
              <c:f>'Stability Example'!$D$16:$W$16</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1"/>
          <c:order val="1"/>
          <c:tx>
            <c:v>UCL</c:v>
          </c:tx>
          <c:extLst>
            <c:ext xmlns:c14="http://schemas.microsoft.com/office/drawing/2007/8/2/chart" uri="{6F2FDCE9-48DA-4B69-8628-5D25D57E5C99}">
              <c14:invertSolidFillFmt>
                <c14:spPr>
                  <a:solidFill>
                    <a:srgbClr val="000000"/>
                  </a:solidFill>
                </c14:spPr>
              </c14:invertSolidFillFmt>
            </c:ext>
          </c:extLst>
          <c:val>
            <c:numRef>
              <c:f>'Stability Example'!$D$20:$W$20</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ser>
          <c:idx val="2"/>
          <c:order val="2"/>
          <c:tx>
            <c:v>LCL</c:v>
          </c:tx>
          <c:extLst>
            <c:ext xmlns:c14="http://schemas.microsoft.com/office/drawing/2007/8/2/chart" uri="{6F2FDCE9-48DA-4B69-8628-5D25D57E5C99}">
              <c14:invertSolidFillFmt>
                <c14:spPr>
                  <a:solidFill>
                    <a:srgbClr val="000000"/>
                  </a:solidFill>
                </c14:spPr>
              </c14:invertSolidFillFmt>
            </c:ext>
          </c:extLst>
          <c:val>
            <c:numRef>
              <c:f>'Stability Example'!$D$21:$W$21</c:f>
              <c:numCach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ser>
        <c:marker val="1"/>
        <c:axId val="19225783"/>
        <c:axId val="38814320"/>
      </c:lineChart>
      <c:catAx>
        <c:axId val="19225783"/>
        <c:scaling>
          <c:orientation val="minMax"/>
        </c:scaling>
        <c:axPos val="b"/>
        <c:title>
          <c:tx>
            <c:rich>
              <a:bodyPr vert="horz" rot="0" anchor="ctr"/>
              <a:lstStyle/>
              <a:p>
                <a:pPr algn="ctr">
                  <a:defRPr/>
                </a:pPr>
                <a:r>
                  <a:rPr lang="en-US" cap="none" sz="1150" b="1" i="0" u="none" baseline="0"/>
                  <a:t>Days</a:t>
                </a:r>
              </a:p>
            </c:rich>
          </c:tx>
          <c:layout>
            <c:manualLayout>
              <c:xMode val="factor"/>
              <c:yMode val="factor"/>
              <c:x val="-0.00325"/>
              <c:y val="-0.00025"/>
            </c:manualLayout>
          </c:layout>
          <c:overlay val="0"/>
          <c:spPr>
            <a:noFill/>
            <a:ln>
              <a:noFill/>
            </a:ln>
          </c:spPr>
        </c:title>
        <c:delete val="0"/>
        <c:numFmt formatCode="General" sourceLinked="1"/>
        <c:majorTickMark val="out"/>
        <c:minorTickMark val="none"/>
        <c:tickLblPos val="nextTo"/>
        <c:txPr>
          <a:bodyPr/>
          <a:lstStyle/>
          <a:p>
            <a:pPr>
              <a:defRPr lang="en-US" cap="none" sz="950" b="0" i="0" u="none" baseline="0"/>
            </a:pPr>
          </a:p>
        </c:txPr>
        <c:crossAx val="38814320"/>
        <c:crosses val="autoZero"/>
        <c:auto val="1"/>
        <c:lblOffset val="100"/>
        <c:noMultiLvlLbl val="0"/>
      </c:catAx>
      <c:valAx>
        <c:axId val="38814320"/>
        <c:scaling>
          <c:orientation val="minMax"/>
        </c:scaling>
        <c:axPos val="l"/>
        <c:title>
          <c:tx>
            <c:rich>
              <a:bodyPr vert="horz" rot="-5400000" anchor="ctr"/>
              <a:lstStyle/>
              <a:p>
                <a:pPr algn="ctr">
                  <a:defRPr/>
                </a:pPr>
                <a:r>
                  <a:rPr lang="en-US" cap="none" sz="1150" b="1" i="0" u="none" baseline="0"/>
                  <a:t>Sample Range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0" i="0" u="none" baseline="0"/>
            </a:pPr>
          </a:p>
        </c:txPr>
        <c:crossAx val="19225783"/>
        <c:crossesAt val="1"/>
        <c:crossBetween val="between"/>
        <c:dispUnits/>
      </c:valAx>
      <c:spPr>
        <a:solidFill>
          <a:srgbClr val="C0C0C0"/>
        </a:solidFill>
        <a:ln w="12700">
          <a:solidFill>
            <a:srgbClr val="808080"/>
          </a:solidFill>
        </a:ln>
      </c:spPr>
    </c:plotArea>
    <c:legend>
      <c:legendPos val="r"/>
      <c:layout>
        <c:manualLayout>
          <c:xMode val="edge"/>
          <c:yMode val="edge"/>
          <c:x val="0.882"/>
          <c:y val="0.65675"/>
          <c:w val="0.118"/>
          <c:h val="0.34325"/>
        </c:manualLayout>
      </c:layout>
      <c:overlay val="0"/>
      <c:txPr>
        <a:bodyPr vert="horz" rot="0"/>
        <a:lstStyle/>
        <a:p>
          <a:pPr>
            <a:defRPr lang="en-US" cap="none" sz="1200" b="0" i="0" u="none" baseline="0"/>
          </a:pPr>
        </a:p>
      </c:txPr>
    </c:legend>
    <c:plotVisOnly val="1"/>
    <c:dispBlanksAs val="gap"/>
    <c:showDLblsOverMax val="0"/>
  </c:chart>
  <c:txPr>
    <a:bodyPr vert="horz" rot="0"/>
    <a:lstStyle/>
    <a:p>
      <a:pPr>
        <a:defRPr lang="en-US" cap="none" sz="2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1571625</xdr:colOff>
      <xdr:row>57</xdr:row>
      <xdr:rowOff>28575</xdr:rowOff>
    </xdr:from>
    <xdr:to>
      <xdr:col>13</xdr:col>
      <xdr:colOff>133350</xdr:colOff>
      <xdr:row>82</xdr:row>
      <xdr:rowOff>0</xdr:rowOff>
    </xdr:to>
    <xdr:graphicFrame>
      <xdr:nvGraphicFramePr>
        <xdr:cNvPr id="1" name="Chart 5"/>
        <xdr:cNvGraphicFramePr/>
      </xdr:nvGraphicFramePr>
      <xdr:xfrm>
        <a:off x="1571625" y="10191750"/>
        <a:ext cx="7953375"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55</xdr:row>
      <xdr:rowOff>76200</xdr:rowOff>
    </xdr:from>
    <xdr:to>
      <xdr:col>11</xdr:col>
      <xdr:colOff>95250</xdr:colOff>
      <xdr:row>79</xdr:row>
      <xdr:rowOff>76200</xdr:rowOff>
    </xdr:to>
    <xdr:graphicFrame>
      <xdr:nvGraphicFramePr>
        <xdr:cNvPr id="1" name="Chart 5"/>
        <xdr:cNvGraphicFramePr/>
      </xdr:nvGraphicFramePr>
      <xdr:xfrm>
        <a:off x="123825" y="9915525"/>
        <a:ext cx="6677025" cy="3886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49</xdr:row>
      <xdr:rowOff>114300</xdr:rowOff>
    </xdr:from>
    <xdr:to>
      <xdr:col>14</xdr:col>
      <xdr:colOff>0</xdr:colOff>
      <xdr:row>71</xdr:row>
      <xdr:rowOff>142875</xdr:rowOff>
    </xdr:to>
    <xdr:graphicFrame>
      <xdr:nvGraphicFramePr>
        <xdr:cNvPr id="1" name="Chart 1"/>
        <xdr:cNvGraphicFramePr/>
      </xdr:nvGraphicFramePr>
      <xdr:xfrm>
        <a:off x="676275" y="9839325"/>
        <a:ext cx="7048500" cy="3590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50</xdr:row>
      <xdr:rowOff>9525</xdr:rowOff>
    </xdr:from>
    <xdr:to>
      <xdr:col>13</xdr:col>
      <xdr:colOff>314325</xdr:colOff>
      <xdr:row>73</xdr:row>
      <xdr:rowOff>19050</xdr:rowOff>
    </xdr:to>
    <xdr:graphicFrame>
      <xdr:nvGraphicFramePr>
        <xdr:cNvPr id="1" name="Chart 2"/>
        <xdr:cNvGraphicFramePr/>
      </xdr:nvGraphicFramePr>
      <xdr:xfrm>
        <a:off x="333375" y="9525000"/>
        <a:ext cx="7096125" cy="3733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30</xdr:row>
      <xdr:rowOff>19050</xdr:rowOff>
    </xdr:from>
    <xdr:to>
      <xdr:col>21</xdr:col>
      <xdr:colOff>219075</xdr:colOff>
      <xdr:row>55</xdr:row>
      <xdr:rowOff>57150</xdr:rowOff>
    </xdr:to>
    <xdr:graphicFrame>
      <xdr:nvGraphicFramePr>
        <xdr:cNvPr id="1" name="Chart 2"/>
        <xdr:cNvGraphicFramePr/>
      </xdr:nvGraphicFramePr>
      <xdr:xfrm>
        <a:off x="933450" y="7934325"/>
        <a:ext cx="10791825" cy="4800600"/>
      </xdr:xfrm>
      <a:graphic>
        <a:graphicData uri="http://schemas.openxmlformats.org/drawingml/2006/chart">
          <c:chart xmlns:c="http://schemas.openxmlformats.org/drawingml/2006/chart" r:id="rId1"/>
        </a:graphicData>
      </a:graphic>
    </xdr:graphicFrame>
    <xdr:clientData/>
  </xdr:twoCellAnchor>
  <xdr:twoCellAnchor>
    <xdr:from>
      <xdr:col>1</xdr:col>
      <xdr:colOff>342900</xdr:colOff>
      <xdr:row>56</xdr:row>
      <xdr:rowOff>95250</xdr:rowOff>
    </xdr:from>
    <xdr:to>
      <xdr:col>21</xdr:col>
      <xdr:colOff>190500</xdr:colOff>
      <xdr:row>79</xdr:row>
      <xdr:rowOff>57150</xdr:rowOff>
    </xdr:to>
    <xdr:graphicFrame>
      <xdr:nvGraphicFramePr>
        <xdr:cNvPr id="2" name="Chart 3"/>
        <xdr:cNvGraphicFramePr/>
      </xdr:nvGraphicFramePr>
      <xdr:xfrm>
        <a:off x="952500" y="12963525"/>
        <a:ext cx="10744200" cy="434340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30</xdr:row>
      <xdr:rowOff>0</xdr:rowOff>
    </xdr:from>
    <xdr:to>
      <xdr:col>21</xdr:col>
      <xdr:colOff>209550</xdr:colOff>
      <xdr:row>47</xdr:row>
      <xdr:rowOff>180975</xdr:rowOff>
    </xdr:to>
    <xdr:graphicFrame>
      <xdr:nvGraphicFramePr>
        <xdr:cNvPr id="1" name="Chart 1"/>
        <xdr:cNvGraphicFramePr/>
      </xdr:nvGraphicFramePr>
      <xdr:xfrm>
        <a:off x="895350" y="7381875"/>
        <a:ext cx="10753725" cy="3419475"/>
      </xdr:xfrm>
      <a:graphic>
        <a:graphicData uri="http://schemas.openxmlformats.org/drawingml/2006/chart">
          <c:chart xmlns:c="http://schemas.openxmlformats.org/drawingml/2006/chart" r:id="rId1"/>
        </a:graphicData>
      </a:graphic>
    </xdr:graphicFrame>
    <xdr:clientData/>
  </xdr:twoCellAnchor>
  <xdr:twoCellAnchor>
    <xdr:from>
      <xdr:col>1</xdr:col>
      <xdr:colOff>219075</xdr:colOff>
      <xdr:row>50</xdr:row>
      <xdr:rowOff>66675</xdr:rowOff>
    </xdr:from>
    <xdr:to>
      <xdr:col>21</xdr:col>
      <xdr:colOff>209550</xdr:colOff>
      <xdr:row>69</xdr:row>
      <xdr:rowOff>57150</xdr:rowOff>
    </xdr:to>
    <xdr:graphicFrame>
      <xdr:nvGraphicFramePr>
        <xdr:cNvPr id="2" name="Chart 2"/>
        <xdr:cNvGraphicFramePr/>
      </xdr:nvGraphicFramePr>
      <xdr:xfrm>
        <a:off x="828675" y="11258550"/>
        <a:ext cx="10820400" cy="3609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0"/>
  <sheetViews>
    <sheetView zoomScale="80" zoomScaleNormal="80" zoomScaleSheetLayoutView="75" workbookViewId="0" topLeftCell="A1">
      <selection activeCell="A1" sqref="A1:I1"/>
    </sheetView>
  </sheetViews>
  <sheetFormatPr defaultColWidth="9.140625" defaultRowHeight="12.75"/>
  <cols>
    <col min="1" max="1" width="19.421875" style="36" customWidth="1"/>
    <col min="2" max="2" width="10.57421875" style="36" bestFit="1" customWidth="1"/>
    <col min="3" max="5" width="9.140625" style="36" customWidth="1"/>
    <col min="6" max="6" width="11.57421875" style="36" bestFit="1" customWidth="1"/>
    <col min="7" max="7" width="13.7109375" style="36" customWidth="1"/>
    <col min="8" max="8" width="9.140625" style="36" customWidth="1"/>
    <col min="9" max="9" width="4.421875" style="36" customWidth="1"/>
    <col min="10" max="16384" width="9.140625" style="36" customWidth="1"/>
  </cols>
  <sheetData>
    <row r="1" spans="1:16" ht="20.25">
      <c r="A1" s="211" t="s">
        <v>226</v>
      </c>
      <c r="B1" s="212"/>
      <c r="C1" s="212"/>
      <c r="D1" s="212"/>
      <c r="E1" s="212"/>
      <c r="F1" s="212"/>
      <c r="G1" s="212"/>
      <c r="H1" s="212"/>
      <c r="I1" s="212"/>
      <c r="J1" s="37"/>
      <c r="K1" s="37"/>
      <c r="L1" s="37"/>
      <c r="M1" s="37"/>
      <c r="N1" s="37"/>
      <c r="O1" s="37"/>
      <c r="P1" s="37"/>
    </row>
    <row r="2" ht="12.75"/>
    <row r="3" spans="1:15" ht="20.25" customHeight="1">
      <c r="A3" s="38" t="s">
        <v>27</v>
      </c>
      <c r="B3" s="216" t="e">
        <f>'Gage R &amp; R'!H3:J3</f>
        <v>#VALUE!</v>
      </c>
      <c r="C3" s="216"/>
      <c r="D3" s="216"/>
      <c r="E3" s="40"/>
      <c r="F3" s="38" t="s">
        <v>28</v>
      </c>
      <c r="G3" s="39" t="e">
        <f>'Gage R &amp; R'!H3:J3</f>
        <v>#VALUE!</v>
      </c>
      <c r="H3" s="39"/>
      <c r="I3" s="39"/>
      <c r="K3" s="40"/>
      <c r="L3" s="41"/>
      <c r="M3" s="40"/>
      <c r="N3" s="214"/>
      <c r="O3" s="214"/>
    </row>
    <row r="4" spans="1:15" ht="20.25" customHeight="1">
      <c r="A4" s="38" t="s">
        <v>26</v>
      </c>
      <c r="B4" s="217" t="str">
        <f>'Gage R &amp; R'!B4:D4</f>
        <v>Hole Depth</v>
      </c>
      <c r="C4" s="217"/>
      <c r="D4" s="217"/>
      <c r="E4" s="40"/>
      <c r="F4" s="38" t="s">
        <v>29</v>
      </c>
      <c r="G4" s="53" t="e">
        <f>'Gage R &amp; R'!H5:J5</f>
        <v>#VALUE!</v>
      </c>
      <c r="H4" s="53"/>
      <c r="I4" s="53"/>
      <c r="K4" s="40"/>
      <c r="L4" s="41"/>
      <c r="M4" s="40"/>
      <c r="N4" s="215"/>
      <c r="O4" s="215"/>
    </row>
    <row r="5" spans="1:15" ht="20.25" customHeight="1">
      <c r="A5" s="38" t="s">
        <v>93</v>
      </c>
      <c r="B5" s="213"/>
      <c r="C5" s="213"/>
      <c r="D5" s="213"/>
      <c r="E5" s="40"/>
      <c r="F5" s="40"/>
      <c r="G5" s="59"/>
      <c r="H5" s="59"/>
      <c r="I5" s="59"/>
      <c r="K5" s="40"/>
      <c r="M5" s="43"/>
      <c r="N5" s="215"/>
      <c r="O5" s="215"/>
    </row>
    <row r="6" ht="20.25" customHeight="1"/>
    <row r="7" ht="20.25" customHeight="1">
      <c r="A7" s="41" t="s">
        <v>1</v>
      </c>
    </row>
    <row r="8" spans="1:8" ht="20.25" customHeight="1">
      <c r="A8" s="38" t="s">
        <v>32</v>
      </c>
      <c r="B8" s="44" t="str">
        <f>'Gage R &amp; R'!N3</f>
        <v>?</v>
      </c>
      <c r="C8" s="45"/>
      <c r="F8" s="38" t="s">
        <v>90</v>
      </c>
      <c r="G8" s="46">
        <f>'Gage R &amp; R'!B48</f>
        <v>0.8618061885423349</v>
      </c>
      <c r="H8" s="36" t="str">
        <f>'Gage R &amp; R'!B51</f>
        <v>Gage system may be acceptable based on importance of application and cost</v>
      </c>
    </row>
    <row r="9" spans="1:3" ht="20.25" customHeight="1">
      <c r="A9" s="38" t="s">
        <v>31</v>
      </c>
      <c r="B9" s="170" t="str">
        <f>'Gage R &amp; R'!N4</f>
        <v>?</v>
      </c>
      <c r="C9" s="42"/>
    </row>
    <row r="10" spans="2:3" ht="20.25" customHeight="1">
      <c r="B10" s="170">
        <f>'Gage R &amp; R'!N5</f>
        <v>0</v>
      </c>
      <c r="C10" s="42"/>
    </row>
    <row r="11" ht="20.25" customHeight="1"/>
    <row r="12" ht="20.25" customHeight="1">
      <c r="A12" s="40" t="s">
        <v>37</v>
      </c>
    </row>
    <row r="13" spans="1:7" ht="20.25" customHeight="1">
      <c r="A13" s="38" t="s">
        <v>32</v>
      </c>
      <c r="B13" s="47">
        <f>Bias!N7</f>
        <v>0</v>
      </c>
      <c r="C13" s="47"/>
      <c r="D13" s="48"/>
      <c r="E13" s="56" t="s">
        <v>94</v>
      </c>
      <c r="F13" s="57" t="e">
        <f>Bias!E33</f>
        <v>#DIV/0!</v>
      </c>
      <c r="G13" s="41" t="e">
        <f>Bias!G33</f>
        <v>#DIV/0!</v>
      </c>
    </row>
    <row r="14" spans="1:4" ht="20.25" customHeight="1">
      <c r="A14" s="38" t="s">
        <v>31</v>
      </c>
      <c r="B14" s="49">
        <f>Bias!N8</f>
        <v>0</v>
      </c>
      <c r="C14" s="49"/>
      <c r="D14" s="48"/>
    </row>
    <row r="15" ht="20.25" customHeight="1"/>
    <row r="16" ht="20.25" customHeight="1">
      <c r="A16" s="40" t="s">
        <v>91</v>
      </c>
    </row>
    <row r="17" spans="1:7" ht="20.25" customHeight="1">
      <c r="A17" s="38" t="s">
        <v>32</v>
      </c>
      <c r="B17" s="50">
        <f>Linearity!M5</f>
        <v>0</v>
      </c>
      <c r="C17" s="51"/>
      <c r="E17" s="38" t="s">
        <v>81</v>
      </c>
      <c r="F17" s="58" t="e">
        <f>Linearity!E47</f>
        <v>#DIV/0!</v>
      </c>
      <c r="G17" s="40" t="e">
        <f>Linearity!G47</f>
        <v>#DIV/0!</v>
      </c>
    </row>
    <row r="18" spans="1:7" ht="20.25" customHeight="1">
      <c r="A18" s="38" t="s">
        <v>31</v>
      </c>
      <c r="B18" s="51">
        <f>Linearity!M6</f>
        <v>0</v>
      </c>
      <c r="C18" s="51"/>
      <c r="E18" s="38" t="s">
        <v>80</v>
      </c>
      <c r="F18" s="58" t="e">
        <f>Linearity!E48</f>
        <v>#DIV/0!</v>
      </c>
      <c r="G18" s="40" t="e">
        <f>Linearity!G48</f>
        <v>#DIV/0!</v>
      </c>
    </row>
    <row r="19" spans="5:7" ht="20.25" customHeight="1">
      <c r="E19" s="38" t="s">
        <v>41</v>
      </c>
      <c r="F19" s="58" t="e">
        <f>Linearity!E49</f>
        <v>#DIV/0!</v>
      </c>
      <c r="G19" s="40" t="e">
        <f>Linearity!G49</f>
        <v>#DIV/0!</v>
      </c>
    </row>
    <row r="20" ht="20.25" customHeight="1"/>
    <row r="21" spans="1:5" ht="20.25" customHeight="1">
      <c r="A21" s="40" t="s">
        <v>92</v>
      </c>
      <c r="E21" s="180"/>
    </row>
    <row r="22" spans="1:7" ht="20.25" customHeight="1">
      <c r="A22" s="38" t="s">
        <v>56</v>
      </c>
      <c r="B22" s="52">
        <f>Stability!M3</f>
        <v>0</v>
      </c>
      <c r="E22" s="179"/>
      <c r="F22" s="178"/>
      <c r="G22" s="178"/>
    </row>
    <row r="23" spans="1:7" ht="20.25" customHeight="1">
      <c r="A23" s="38" t="s">
        <v>31</v>
      </c>
      <c r="B23" s="36">
        <f>Stability!M4</f>
        <v>0</v>
      </c>
      <c r="E23" s="179"/>
      <c r="F23" s="178"/>
      <c r="G23" s="178"/>
    </row>
    <row r="24" spans="2:5" ht="20.25" customHeight="1">
      <c r="B24" s="180"/>
      <c r="E24" s="180"/>
    </row>
    <row r="25" spans="1:7" ht="20.25" customHeight="1">
      <c r="A25" s="40" t="s">
        <v>63</v>
      </c>
      <c r="B25" s="179"/>
      <c r="C25" s="178"/>
      <c r="D25" s="178"/>
      <c r="E25" s="178"/>
      <c r="F25" s="178"/>
      <c r="G25" s="178"/>
    </row>
    <row r="26" spans="2:7" ht="20.25" customHeight="1">
      <c r="B26" s="179"/>
      <c r="C26" s="178"/>
      <c r="D26" s="178"/>
      <c r="E26" s="178"/>
      <c r="F26" s="178"/>
      <c r="G26" s="178"/>
    </row>
    <row r="27" spans="2:7" ht="20.25" customHeight="1">
      <c r="B27" s="179"/>
      <c r="C27" s="178"/>
      <c r="D27" s="178"/>
      <c r="E27" s="178"/>
      <c r="F27" s="178"/>
      <c r="G27" s="178"/>
    </row>
    <row r="28" spans="2:7" ht="20.25" customHeight="1">
      <c r="B28" s="181"/>
      <c r="C28" s="181"/>
      <c r="D28" s="181"/>
      <c r="E28" s="181"/>
      <c r="F28" s="181"/>
      <c r="G28" s="181"/>
    </row>
    <row r="29" spans="2:7" ht="20.25" customHeight="1">
      <c r="B29" s="182"/>
      <c r="C29" s="182"/>
      <c r="D29" s="182"/>
      <c r="E29" s="182"/>
      <c r="F29" s="182"/>
      <c r="G29" s="182"/>
    </row>
    <row r="30" spans="2:7" ht="20.25" customHeight="1">
      <c r="B30" s="182"/>
      <c r="C30" s="182"/>
      <c r="D30" s="182"/>
      <c r="E30" s="182"/>
      <c r="F30" s="182"/>
      <c r="G30" s="182"/>
    </row>
  </sheetData>
  <sheetProtection/>
  <mergeCells count="7">
    <mergeCell ref="A1:I1"/>
    <mergeCell ref="B5:D5"/>
    <mergeCell ref="N3:O3"/>
    <mergeCell ref="N4:O4"/>
    <mergeCell ref="N5:O5"/>
    <mergeCell ref="B3:D3"/>
    <mergeCell ref="B4:D4"/>
  </mergeCells>
  <printOptions horizontalCentered="1"/>
  <pageMargins left="0.75" right="0.75" top="1" bottom="1" header="0.5" footer="0.5"/>
  <pageSetup horizontalDpi="600" verticalDpi="600" orientation="portrait" scale="94" r:id="rId3"/>
  <headerFooter alignWithMargins="0">
    <oddFooter>&amp;LForm 827  Rev. A  08-Jul-03</oddFooter>
  </headerFooter>
  <legacyDrawing r:id="rId2"/>
</worksheet>
</file>

<file path=xl/worksheets/sheet10.xml><?xml version="1.0" encoding="utf-8"?>
<worksheet xmlns="http://schemas.openxmlformats.org/spreadsheetml/2006/main" xmlns:r="http://schemas.openxmlformats.org/officeDocument/2006/relationships">
  <dimension ref="A1:Y60"/>
  <sheetViews>
    <sheetView workbookViewId="0" topLeftCell="A1">
      <selection activeCell="D1" sqref="D1:J1"/>
    </sheetView>
  </sheetViews>
  <sheetFormatPr defaultColWidth="9.140625" defaultRowHeight="12.75"/>
  <cols>
    <col min="1" max="1" width="6.57421875" style="0" customWidth="1"/>
    <col min="2" max="2" width="3.8515625" style="0" bestFit="1" customWidth="1"/>
    <col min="3" max="3" width="10.140625" style="0" bestFit="1" customWidth="1"/>
    <col min="4" max="10" width="3.8515625" style="0" bestFit="1" customWidth="1"/>
    <col min="11" max="11" width="4.8515625" style="0" customWidth="1"/>
    <col min="12" max="12" width="9.57421875" style="0" customWidth="1"/>
    <col min="13" max="13" width="17.28125" style="0" bestFit="1" customWidth="1"/>
    <col min="15" max="15" width="7.28125" style="0" customWidth="1"/>
    <col min="16" max="16" width="14.421875" style="0" bestFit="1" customWidth="1"/>
    <col min="17" max="17" width="7.28125" style="0" customWidth="1"/>
    <col min="18" max="18" width="7.57421875" style="0" customWidth="1"/>
    <col min="19" max="19" width="6.8515625" style="0" customWidth="1"/>
    <col min="20" max="20" width="2.28125" style="0" customWidth="1"/>
    <col min="21" max="21" width="9.28125" style="0" customWidth="1"/>
    <col min="22" max="22" width="14.421875" style="0" bestFit="1" customWidth="1"/>
    <col min="23" max="23" width="7.8515625" style="0" customWidth="1"/>
    <col min="24" max="24" width="7.57421875" style="0" customWidth="1"/>
    <col min="25" max="25" width="9.7109375" style="0" customWidth="1"/>
  </cols>
  <sheetData>
    <row r="1" spans="1:19" ht="12.75">
      <c r="A1" s="40" t="s">
        <v>96</v>
      </c>
      <c r="D1" s="279"/>
      <c r="E1" s="279"/>
      <c r="F1" s="279"/>
      <c r="G1" s="279"/>
      <c r="H1" s="279"/>
      <c r="I1" s="279"/>
      <c r="J1" s="279"/>
      <c r="K1" s="40" t="s">
        <v>208</v>
      </c>
      <c r="M1" s="279"/>
      <c r="N1" s="279"/>
      <c r="O1" s="168"/>
      <c r="P1" s="168"/>
      <c r="Q1" s="166"/>
      <c r="R1" s="166"/>
      <c r="S1" s="166"/>
    </row>
    <row r="2" spans="1:19" ht="12.75">
      <c r="A2" s="40" t="s">
        <v>26</v>
      </c>
      <c r="D2" s="278"/>
      <c r="E2" s="278"/>
      <c r="F2" s="278"/>
      <c r="G2" s="278"/>
      <c r="H2" s="278"/>
      <c r="I2" s="278"/>
      <c r="J2" s="278"/>
      <c r="K2" s="40" t="s">
        <v>209</v>
      </c>
      <c r="M2" s="280"/>
      <c r="N2" s="280"/>
      <c r="O2" s="168"/>
      <c r="P2" s="168"/>
      <c r="Q2" s="166"/>
      <c r="R2" s="166"/>
      <c r="S2" s="166"/>
    </row>
    <row r="3" spans="1:18" ht="12.75">
      <c r="A3" s="40" t="s">
        <v>38</v>
      </c>
      <c r="D3" s="278"/>
      <c r="E3" s="278"/>
      <c r="F3" s="278"/>
      <c r="G3" s="278"/>
      <c r="H3" s="278"/>
      <c r="I3" s="278"/>
      <c r="J3" s="278"/>
      <c r="K3" s="152" t="s">
        <v>210</v>
      </c>
      <c r="M3" s="278"/>
      <c r="N3" s="278"/>
      <c r="O3" s="169"/>
      <c r="P3" s="169"/>
      <c r="Q3" s="169"/>
      <c r="R3" s="169"/>
    </row>
    <row r="4" spans="1:18" ht="12.75">
      <c r="A4" s="277" t="s">
        <v>211</v>
      </c>
      <c r="B4" s="277"/>
      <c r="C4" s="277"/>
      <c r="D4" s="278"/>
      <c r="E4" s="278"/>
      <c r="F4" s="278"/>
      <c r="G4" s="278"/>
      <c r="H4" s="278"/>
      <c r="I4" s="278"/>
      <c r="J4" s="278"/>
      <c r="K4" s="152" t="s">
        <v>31</v>
      </c>
      <c r="M4" s="278"/>
      <c r="N4" s="278"/>
      <c r="O4" s="169"/>
      <c r="P4" s="169"/>
      <c r="Q4" s="169"/>
      <c r="R4" s="169"/>
    </row>
    <row r="6" spans="3:13" ht="13.5" thickBot="1">
      <c r="C6" s="122" t="s">
        <v>159</v>
      </c>
      <c r="D6" s="122" t="s">
        <v>160</v>
      </c>
      <c r="E6" s="122" t="s">
        <v>161</v>
      </c>
      <c r="F6" s="122" t="s">
        <v>162</v>
      </c>
      <c r="G6" s="122" t="s">
        <v>163</v>
      </c>
      <c r="H6" s="122" t="s">
        <v>164</v>
      </c>
      <c r="I6" s="122" t="s">
        <v>165</v>
      </c>
      <c r="J6" s="122" t="s">
        <v>166</v>
      </c>
      <c r="K6" s="122" t="s">
        <v>167</v>
      </c>
      <c r="L6" s="122" t="s">
        <v>168</v>
      </c>
      <c r="M6" s="122" t="s">
        <v>169</v>
      </c>
    </row>
    <row r="7" spans="3:25" ht="13.5" thickTop="1">
      <c r="C7" s="122">
        <v>1</v>
      </c>
      <c r="D7" s="176"/>
      <c r="E7" s="176"/>
      <c r="F7" s="176"/>
      <c r="G7" s="176"/>
      <c r="H7" s="176"/>
      <c r="I7" s="176"/>
      <c r="J7" s="176"/>
      <c r="K7" s="176"/>
      <c r="L7" s="176"/>
      <c r="M7" s="176"/>
      <c r="O7" s="266" t="s">
        <v>171</v>
      </c>
      <c r="P7" s="267"/>
      <c r="Q7" s="267"/>
      <c r="R7" s="267"/>
      <c r="S7" s="268"/>
      <c r="U7" s="266" t="s">
        <v>172</v>
      </c>
      <c r="V7" s="267"/>
      <c r="W7" s="267"/>
      <c r="X7" s="267"/>
      <c r="Y7" s="268"/>
    </row>
    <row r="8" spans="3:25" ht="12.75">
      <c r="C8" s="122">
        <v>2</v>
      </c>
      <c r="D8" s="176"/>
      <c r="E8" s="176"/>
      <c r="F8" s="176"/>
      <c r="G8" s="176"/>
      <c r="H8" s="176"/>
      <c r="I8" s="176"/>
      <c r="J8" s="176"/>
      <c r="K8" s="176"/>
      <c r="L8" s="176"/>
      <c r="M8" s="176"/>
      <c r="O8" s="123"/>
      <c r="P8" s="22"/>
      <c r="Q8" s="269" t="s">
        <v>173</v>
      </c>
      <c r="R8" s="269"/>
      <c r="S8" s="270" t="s">
        <v>174</v>
      </c>
      <c r="U8" s="123"/>
      <c r="V8" s="22"/>
      <c r="W8" s="269" t="s">
        <v>175</v>
      </c>
      <c r="X8" s="269"/>
      <c r="Y8" s="270" t="s">
        <v>174</v>
      </c>
    </row>
    <row r="9" spans="3:25" ht="12.75">
      <c r="C9" s="122">
        <v>3</v>
      </c>
      <c r="D9" s="176"/>
      <c r="E9" s="176"/>
      <c r="F9" s="176"/>
      <c r="G9" s="176"/>
      <c r="H9" s="176"/>
      <c r="I9" s="176"/>
      <c r="J9" s="176"/>
      <c r="K9" s="176"/>
      <c r="L9" s="176"/>
      <c r="M9" s="176"/>
      <c r="O9" s="123"/>
      <c r="P9" s="22"/>
      <c r="Q9" s="22" t="s">
        <v>177</v>
      </c>
      <c r="R9" s="22" t="s">
        <v>176</v>
      </c>
      <c r="S9" s="270"/>
      <c r="U9" s="123"/>
      <c r="V9" s="22"/>
      <c r="W9" s="22" t="s">
        <v>177</v>
      </c>
      <c r="X9" s="22" t="s">
        <v>176</v>
      </c>
      <c r="Y9" s="270"/>
    </row>
    <row r="10" spans="3:25" ht="12.75">
      <c r="C10" s="122">
        <v>4</v>
      </c>
      <c r="D10" s="176"/>
      <c r="E10" s="176"/>
      <c r="F10" s="176"/>
      <c r="G10" s="176"/>
      <c r="H10" s="176"/>
      <c r="I10" s="176"/>
      <c r="J10" s="176"/>
      <c r="K10" s="176"/>
      <c r="L10" s="176"/>
      <c r="M10" s="176"/>
      <c r="O10" s="271" t="s">
        <v>178</v>
      </c>
      <c r="P10" s="22" t="s">
        <v>177</v>
      </c>
      <c r="Q10" s="166"/>
      <c r="R10" s="166"/>
      <c r="S10" s="155">
        <f>IF(ISBLANK(Q10),"",SUM(Q10:R10))</f>
      </c>
      <c r="U10" s="271" t="s">
        <v>178</v>
      </c>
      <c r="V10" s="22" t="s">
        <v>177</v>
      </c>
      <c r="W10" s="166"/>
      <c r="X10" s="166"/>
      <c r="Y10" s="155">
        <f>IF(ISBLANK(W10),"",SUM(W10:X10))</f>
      </c>
    </row>
    <row r="11" spans="3:25" ht="12.75">
      <c r="C11" s="122">
        <v>5</v>
      </c>
      <c r="D11" s="176"/>
      <c r="E11" s="176"/>
      <c r="F11" s="176"/>
      <c r="G11" s="176"/>
      <c r="H11" s="176"/>
      <c r="I11" s="176"/>
      <c r="J11" s="176"/>
      <c r="K11" s="176"/>
      <c r="L11" s="176"/>
      <c r="M11" s="176"/>
      <c r="O11" s="271"/>
      <c r="P11" s="22" t="s">
        <v>179</v>
      </c>
      <c r="Q11" s="153">
        <f>IF(ISTEXT(S10),"",(S10*Q14)/S14)</f>
      </c>
      <c r="R11" s="153">
        <f>IF(ISTEXT(S10),"",(S10*R14)/S14)</f>
      </c>
      <c r="S11" s="154">
        <f>IF(ISTEXT(S10),"",(S10*S14)/S14)</f>
      </c>
      <c r="U11" s="271"/>
      <c r="V11" s="22" t="s">
        <v>179</v>
      </c>
      <c r="W11" s="153">
        <f>IF(ISTEXT(Y10),"",(Y10*W14)/Y14)</f>
      </c>
      <c r="X11" s="153">
        <f>IF(ISTEXT(Y10),"",(Y10*X14)/Y14)</f>
      </c>
      <c r="Y11" s="154">
        <f>IF(ISTEXT(Y10),"",(Y10*Y14)/Y14)</f>
      </c>
    </row>
    <row r="12" spans="3:25" ht="12.75">
      <c r="C12" s="122">
        <v>6</v>
      </c>
      <c r="D12" s="176"/>
      <c r="E12" s="176"/>
      <c r="F12" s="176"/>
      <c r="G12" s="176"/>
      <c r="H12" s="176"/>
      <c r="I12" s="176"/>
      <c r="J12" s="176"/>
      <c r="K12" s="176"/>
      <c r="L12" s="176"/>
      <c r="M12" s="176"/>
      <c r="O12" s="271"/>
      <c r="P12" s="22" t="s">
        <v>176</v>
      </c>
      <c r="Q12" s="166"/>
      <c r="R12" s="166"/>
      <c r="S12" s="155">
        <f>IF(ISBLANK(Q12),"",SUM(Q12:R12))</f>
      </c>
      <c r="U12" s="271"/>
      <c r="V12" s="22" t="s">
        <v>176</v>
      </c>
      <c r="W12" s="166"/>
      <c r="X12" s="166"/>
      <c r="Y12" s="155">
        <f>IF(ISBLANK(W12),"",SUM(W12:X12))</f>
      </c>
    </row>
    <row r="13" spans="3:25" ht="12.75">
      <c r="C13" s="122">
        <v>7</v>
      </c>
      <c r="D13" s="176"/>
      <c r="E13" s="176"/>
      <c r="F13" s="176"/>
      <c r="G13" s="176"/>
      <c r="H13" s="176"/>
      <c r="I13" s="176"/>
      <c r="J13" s="176"/>
      <c r="K13" s="176"/>
      <c r="L13" s="176"/>
      <c r="M13" s="176"/>
      <c r="O13" s="271"/>
      <c r="P13" s="22" t="s">
        <v>180</v>
      </c>
      <c r="Q13" s="153">
        <f>IF(ISTEXT(S12),"",(S12*Q14)/S14)</f>
      </c>
      <c r="R13" s="153">
        <f>IF(ISTEXT(S12),"",(S12*R14)/S14)</f>
      </c>
      <c r="S13" s="154">
        <f>IF(ISTEXT(S12),"",(S12*S14)/S14)</f>
      </c>
      <c r="U13" s="271"/>
      <c r="V13" s="22" t="s">
        <v>180</v>
      </c>
      <c r="W13" s="153">
        <f>IF(ISTEXT(Y12),"",(Y12*W14)/Y14)</f>
      </c>
      <c r="X13" s="153">
        <f>IF(ISTEXT(Y12),"",(Y12*X14)/Y14)</f>
      </c>
      <c r="Y13" s="154">
        <f>IF(ISTEXT(Y12),"",(Y12*Y14)/Y14)</f>
      </c>
    </row>
    <row r="14" spans="3:25" ht="12.75">
      <c r="C14" s="122">
        <v>8</v>
      </c>
      <c r="D14" s="176"/>
      <c r="E14" s="176"/>
      <c r="F14" s="176"/>
      <c r="G14" s="176"/>
      <c r="H14" s="176"/>
      <c r="I14" s="176"/>
      <c r="J14" s="176"/>
      <c r="K14" s="176"/>
      <c r="L14" s="176"/>
      <c r="M14" s="176"/>
      <c r="O14" s="271" t="s">
        <v>174</v>
      </c>
      <c r="P14" s="22" t="s">
        <v>181</v>
      </c>
      <c r="Q14" s="158">
        <f>IF(ISBLANK(Q10),"",SUM(Q10,Q12))</f>
      </c>
      <c r="R14" s="158">
        <f>IF(ISBLANK(R10),"",SUM(R10,R12))</f>
      </c>
      <c r="S14" s="155">
        <f>IF(ISTEXT(S10),"",SUM(S10,S12))</f>
      </c>
      <c r="U14" s="271" t="s">
        <v>174</v>
      </c>
      <c r="V14" s="22" t="s">
        <v>181</v>
      </c>
      <c r="W14" s="158">
        <f>IF(ISBLANK(W10),"",SUM(W10,W12))</f>
      </c>
      <c r="X14" s="158">
        <f>IF(ISBLANK(X10),"",SUM(X10,X12))</f>
      </c>
      <c r="Y14" s="155">
        <f>IF(ISTEXT(Y10),"",SUM(Y10,Y12))</f>
      </c>
    </row>
    <row r="15" spans="3:25" ht="13.5" thickBot="1">
      <c r="C15" s="122">
        <v>9</v>
      </c>
      <c r="D15" s="176"/>
      <c r="E15" s="176"/>
      <c r="F15" s="176"/>
      <c r="G15" s="176"/>
      <c r="H15" s="176"/>
      <c r="I15" s="176"/>
      <c r="J15" s="176"/>
      <c r="K15" s="176"/>
      <c r="L15" s="176"/>
      <c r="M15" s="176"/>
      <c r="O15" s="272"/>
      <c r="P15" s="129" t="s">
        <v>179</v>
      </c>
      <c r="Q15" s="157">
        <f>IF(ISTEXT(Q14),"",(Q14*S14)/S14)</f>
      </c>
      <c r="R15" s="157">
        <f>IF(ISTEXT(R14),"",(R14*S14)/S14)</f>
      </c>
      <c r="S15" s="156">
        <f>IF(ISTEXT(S14),"",(S14*S14)/S14)</f>
      </c>
      <c r="U15" s="272"/>
      <c r="V15" s="129" t="s">
        <v>179</v>
      </c>
      <c r="W15" s="157">
        <f>IF(ISTEXT(W14),"",(W14*Y14)/Y14)</f>
      </c>
      <c r="X15" s="157">
        <f>IF(ISTEXT(X14),"",(X14*Y14)/Y14)</f>
      </c>
      <c r="Y15" s="156">
        <f>IF(ISTEXT(Y14),"",(Y14*Y14)/Y14)</f>
      </c>
    </row>
    <row r="16" spans="3:13" ht="13.5" thickTop="1">
      <c r="C16" s="122">
        <v>10</v>
      </c>
      <c r="D16" s="176"/>
      <c r="E16" s="176"/>
      <c r="F16" s="176"/>
      <c r="G16" s="176"/>
      <c r="H16" s="176"/>
      <c r="I16" s="176"/>
      <c r="J16" s="176"/>
      <c r="K16" s="176"/>
      <c r="L16" s="176"/>
      <c r="M16" s="176"/>
    </row>
    <row r="17" spans="3:22" ht="15.75">
      <c r="C17" s="122">
        <v>11</v>
      </c>
      <c r="D17" s="176"/>
      <c r="E17" s="176"/>
      <c r="F17" s="176"/>
      <c r="G17" s="176"/>
      <c r="H17" s="176"/>
      <c r="I17" s="176"/>
      <c r="J17" s="176"/>
      <c r="K17" s="176"/>
      <c r="L17" s="176"/>
      <c r="M17" s="176"/>
      <c r="O17" s="89" t="s">
        <v>182</v>
      </c>
      <c r="P17" s="159">
        <f>IF(ISBLANK(Q10),"",(Q10+R12)/S14)</f>
      </c>
      <c r="U17" t="s">
        <v>183</v>
      </c>
      <c r="V17" s="160">
        <f>IF(ISBLANK(W10),"",(W10+X12)/Y14)</f>
      </c>
    </row>
    <row r="18" spans="3:22" ht="15.75">
      <c r="C18" s="122">
        <v>12</v>
      </c>
      <c r="D18" s="176"/>
      <c r="E18" s="176"/>
      <c r="F18" s="176"/>
      <c r="G18" s="176"/>
      <c r="H18" s="176"/>
      <c r="I18" s="176"/>
      <c r="J18" s="176"/>
      <c r="K18" s="176"/>
      <c r="L18" s="176"/>
      <c r="M18" s="176"/>
      <c r="O18" s="89" t="s">
        <v>184</v>
      </c>
      <c r="P18" s="159">
        <f>IF(ISTEXT(Q11),"",(Q11+R13)/S15)</f>
      </c>
      <c r="U18" t="s">
        <v>185</v>
      </c>
      <c r="V18" s="159">
        <f>IF(ISTEXT(W11),"",(W11+X13)/Y15)</f>
      </c>
    </row>
    <row r="19" spans="3:13" ht="13.5" thickBot="1">
      <c r="C19" s="122">
        <v>13</v>
      </c>
      <c r="D19" s="176"/>
      <c r="E19" s="176"/>
      <c r="F19" s="176"/>
      <c r="G19" s="176"/>
      <c r="H19" s="176"/>
      <c r="I19" s="176"/>
      <c r="J19" s="176"/>
      <c r="K19" s="176"/>
      <c r="L19" s="176"/>
      <c r="M19" s="176"/>
    </row>
    <row r="20" spans="3:25" ht="13.5" thickTop="1">
      <c r="C20" s="122">
        <v>14</v>
      </c>
      <c r="D20" s="176"/>
      <c r="E20" s="176"/>
      <c r="F20" s="176"/>
      <c r="G20" s="176"/>
      <c r="H20" s="176"/>
      <c r="I20" s="176"/>
      <c r="J20" s="176"/>
      <c r="K20" s="176"/>
      <c r="L20" s="176"/>
      <c r="M20" s="176"/>
      <c r="O20" s="266" t="s">
        <v>186</v>
      </c>
      <c r="P20" s="267"/>
      <c r="Q20" s="267"/>
      <c r="R20" s="267"/>
      <c r="S20" s="268"/>
      <c r="U20" s="266" t="s">
        <v>187</v>
      </c>
      <c r="V20" s="267"/>
      <c r="W20" s="267"/>
      <c r="X20" s="267"/>
      <c r="Y20" s="268"/>
    </row>
    <row r="21" spans="3:25" ht="12.75">
      <c r="C21" s="122">
        <v>15</v>
      </c>
      <c r="D21" s="176"/>
      <c r="E21" s="176"/>
      <c r="F21" s="176"/>
      <c r="G21" s="176"/>
      <c r="H21" s="176"/>
      <c r="I21" s="176"/>
      <c r="J21" s="176"/>
      <c r="K21" s="176"/>
      <c r="L21" s="176"/>
      <c r="M21" s="176"/>
      <c r="O21" s="123"/>
      <c r="P21" s="22"/>
      <c r="Q21" s="269" t="s">
        <v>188</v>
      </c>
      <c r="R21" s="269"/>
      <c r="S21" s="270" t="s">
        <v>174</v>
      </c>
      <c r="U21" s="123"/>
      <c r="V21" s="22"/>
      <c r="W21" s="269" t="s">
        <v>175</v>
      </c>
      <c r="X21" s="269"/>
      <c r="Y21" s="270" t="s">
        <v>174</v>
      </c>
    </row>
    <row r="22" spans="3:25" ht="12.75">
      <c r="C22" s="122">
        <v>16</v>
      </c>
      <c r="D22" s="176"/>
      <c r="E22" s="176"/>
      <c r="F22" s="176"/>
      <c r="G22" s="176"/>
      <c r="H22" s="176"/>
      <c r="I22" s="176"/>
      <c r="J22" s="176"/>
      <c r="K22" s="176"/>
      <c r="L22" s="176"/>
      <c r="M22" s="176"/>
      <c r="O22" s="123"/>
      <c r="P22" s="22"/>
      <c r="Q22" s="22" t="s">
        <v>177</v>
      </c>
      <c r="R22" s="22" t="s">
        <v>176</v>
      </c>
      <c r="S22" s="270"/>
      <c r="U22" s="123"/>
      <c r="V22" s="22"/>
      <c r="W22" s="22" t="s">
        <v>177</v>
      </c>
      <c r="X22" s="22" t="s">
        <v>176</v>
      </c>
      <c r="Y22" s="270"/>
    </row>
    <row r="23" spans="3:25" ht="12.75">
      <c r="C23" s="122">
        <v>17</v>
      </c>
      <c r="D23" s="176"/>
      <c r="E23" s="176"/>
      <c r="F23" s="176"/>
      <c r="G23" s="176"/>
      <c r="H23" s="176"/>
      <c r="I23" s="176"/>
      <c r="J23" s="176"/>
      <c r="K23" s="176"/>
      <c r="L23" s="176"/>
      <c r="M23" s="176"/>
      <c r="O23" s="271" t="s">
        <v>173</v>
      </c>
      <c r="P23" s="22" t="s">
        <v>177</v>
      </c>
      <c r="Q23" s="166"/>
      <c r="R23" s="166"/>
      <c r="S23" s="155">
        <f>IF(ISBLANK(Q23),"",SUM(Q23:R23))</f>
      </c>
      <c r="U23" s="271" t="s">
        <v>173</v>
      </c>
      <c r="V23" s="22" t="s">
        <v>177</v>
      </c>
      <c r="W23" s="166"/>
      <c r="X23" s="166"/>
      <c r="Y23" s="155">
        <f>IF(ISBLANK(W23),"",SUM(W23:X23))</f>
      </c>
    </row>
    <row r="24" spans="3:25" ht="12.75">
      <c r="C24" s="122">
        <v>18</v>
      </c>
      <c r="D24" s="176"/>
      <c r="E24" s="176"/>
      <c r="F24" s="176"/>
      <c r="G24" s="176"/>
      <c r="H24" s="176"/>
      <c r="I24" s="176"/>
      <c r="J24" s="176"/>
      <c r="K24" s="176"/>
      <c r="L24" s="176"/>
      <c r="M24" s="176"/>
      <c r="O24" s="271"/>
      <c r="P24" s="22" t="s">
        <v>179</v>
      </c>
      <c r="Q24" s="153">
        <f>IF(ISTEXT(S23),"",(S23*Q27)/S27)</f>
      </c>
      <c r="R24" s="153">
        <f>IF(ISTEXT(S23),"",(S23*R27)/S27)</f>
      </c>
      <c r="S24" s="154">
        <f>IF(ISTEXT(S23),"",(S23*S27)/S27)</f>
      </c>
      <c r="U24" s="271"/>
      <c r="V24" s="22" t="s">
        <v>179</v>
      </c>
      <c r="W24" s="153">
        <f>IF(ISTEXT(Y23),"",(Y23*W27)/Y27)</f>
      </c>
      <c r="X24" s="153">
        <f>IF(ISTEXT(Y23),"",(Y23*X27)/Y27)</f>
      </c>
      <c r="Y24" s="154">
        <f>IF(ISTEXT(Y23),"",(Y23*Y27)/Y27)</f>
      </c>
    </row>
    <row r="25" spans="3:25" ht="12.75">
      <c r="C25" s="122">
        <v>19</v>
      </c>
      <c r="D25" s="176"/>
      <c r="E25" s="176"/>
      <c r="F25" s="176"/>
      <c r="G25" s="176"/>
      <c r="H25" s="176"/>
      <c r="I25" s="176"/>
      <c r="J25" s="176"/>
      <c r="K25" s="176"/>
      <c r="L25" s="176"/>
      <c r="M25" s="176"/>
      <c r="O25" s="271"/>
      <c r="P25" s="22" t="s">
        <v>176</v>
      </c>
      <c r="Q25" s="166"/>
      <c r="R25" s="166"/>
      <c r="S25" s="155">
        <f>IF(ISBLANK(Q25),"",SUM(Q25:R25))</f>
      </c>
      <c r="U25" s="271"/>
      <c r="V25" s="22" t="s">
        <v>176</v>
      </c>
      <c r="W25" s="166"/>
      <c r="X25" s="166"/>
      <c r="Y25" s="155">
        <f>IF(ISBLANK(W25),"",SUM(W25:X25))</f>
      </c>
    </row>
    <row r="26" spans="3:25" ht="12.75">
      <c r="C26" s="122">
        <v>20</v>
      </c>
      <c r="D26" s="176"/>
      <c r="E26" s="176"/>
      <c r="F26" s="176"/>
      <c r="G26" s="176"/>
      <c r="H26" s="176"/>
      <c r="I26" s="176"/>
      <c r="J26" s="176"/>
      <c r="K26" s="176"/>
      <c r="L26" s="176"/>
      <c r="M26" s="176"/>
      <c r="O26" s="271"/>
      <c r="P26" s="22" t="s">
        <v>180</v>
      </c>
      <c r="Q26" s="153">
        <f>IF(ISTEXT(S25),"",(S25*Q27)/S27)</f>
      </c>
      <c r="R26" s="153">
        <f>IF(ISTEXT(S25),"",(S25*R27)/S27)</f>
      </c>
      <c r="S26" s="154">
        <f>IF(ISTEXT(S25),"",(S25*S27)/S27)</f>
      </c>
      <c r="U26" s="271"/>
      <c r="V26" s="22" t="s">
        <v>180</v>
      </c>
      <c r="W26" s="153">
        <f>IF(ISTEXT(Y25),"",(Y25*W27)/Y27)</f>
      </c>
      <c r="X26" s="153">
        <f>IF(ISTEXT(Y25),"",(Y25*X27)/Y27)</f>
      </c>
      <c r="Y26" s="154">
        <f>IF(ISTEXT(Y25),"",(Y25*Y27)/Y27)</f>
      </c>
    </row>
    <row r="27" spans="3:25" ht="12.75">
      <c r="C27" s="122">
        <v>21</v>
      </c>
      <c r="D27" s="176"/>
      <c r="E27" s="176"/>
      <c r="F27" s="176"/>
      <c r="G27" s="176"/>
      <c r="H27" s="176"/>
      <c r="I27" s="176"/>
      <c r="J27" s="176"/>
      <c r="K27" s="176"/>
      <c r="L27" s="176"/>
      <c r="M27" s="176"/>
      <c r="O27" s="271" t="s">
        <v>174</v>
      </c>
      <c r="P27" s="22" t="s">
        <v>181</v>
      </c>
      <c r="Q27" s="158">
        <f>IF(ISBLANK(Q25),"",SUM(Q23,Q25))</f>
      </c>
      <c r="R27" s="158">
        <f>IF(ISBLANK(R25),"",SUM(R23,R25))</f>
      </c>
      <c r="S27" s="155">
        <f>IF(ISTEXT(S23),"",SUM(S23,S25))</f>
      </c>
      <c r="U27" s="271" t="s">
        <v>174</v>
      </c>
      <c r="V27" s="22" t="s">
        <v>181</v>
      </c>
      <c r="W27" s="158">
        <f>IF(ISBLANK(W23),"",SUM(W23,W25))</f>
      </c>
      <c r="X27" s="158">
        <f>IF(ISBLANK(X23),"",SUM(X23,X25))</f>
      </c>
      <c r="Y27" s="155">
        <f>IF(ISTEXT(Y23),"",SUM(Y23,Y25))</f>
      </c>
    </row>
    <row r="28" spans="3:25" ht="13.5" thickBot="1">
      <c r="C28" s="122">
        <v>22</v>
      </c>
      <c r="D28" s="176"/>
      <c r="E28" s="176"/>
      <c r="F28" s="176"/>
      <c r="G28" s="176"/>
      <c r="H28" s="176"/>
      <c r="I28" s="176"/>
      <c r="J28" s="176"/>
      <c r="K28" s="176"/>
      <c r="L28" s="176"/>
      <c r="M28" s="176"/>
      <c r="O28" s="272"/>
      <c r="P28" s="129" t="s">
        <v>179</v>
      </c>
      <c r="Q28" s="157">
        <f>IF(ISTEXT(Q27),"",(Q27*S27)/S27)</f>
      </c>
      <c r="R28" s="157">
        <f>IF(ISTEXT(R27),"",(R27*S27)/S27)</f>
      </c>
      <c r="S28" s="156">
        <f>IF(ISTEXT(S27),"",(S27*S27)/S27)</f>
      </c>
      <c r="U28" s="272"/>
      <c r="V28" s="129" t="s">
        <v>179</v>
      </c>
      <c r="W28" s="157">
        <f>IF(ISTEXT(W27),"",(W27*Y27)/Y27)</f>
      </c>
      <c r="X28" s="157">
        <f>IF(ISTEXT(X27),"",(X27*Y27)/Y27)</f>
      </c>
      <c r="Y28" s="156">
        <f>IF(ISTEXT(Y27),"",(Y27*Y27)/Y27)</f>
      </c>
    </row>
    <row r="29" spans="3:13" ht="13.5" thickTop="1">
      <c r="C29" s="122">
        <v>23</v>
      </c>
      <c r="D29" s="176"/>
      <c r="E29" s="176"/>
      <c r="F29" s="176"/>
      <c r="G29" s="176"/>
      <c r="H29" s="176"/>
      <c r="I29" s="176"/>
      <c r="J29" s="176"/>
      <c r="K29" s="176"/>
      <c r="L29" s="176"/>
      <c r="M29" s="176"/>
    </row>
    <row r="30" spans="3:22" ht="15.75">
      <c r="C30" s="122">
        <v>24</v>
      </c>
      <c r="D30" s="176"/>
      <c r="E30" s="176"/>
      <c r="F30" s="176"/>
      <c r="G30" s="176"/>
      <c r="H30" s="176"/>
      <c r="I30" s="176"/>
      <c r="J30" s="176"/>
      <c r="K30" s="176"/>
      <c r="L30" s="176"/>
      <c r="M30" s="176"/>
      <c r="O30" s="89" t="s">
        <v>189</v>
      </c>
      <c r="P30" s="159">
        <f>IF(ISBLANK(Q23),"",(Q23+R25)/S27)</f>
      </c>
      <c r="Q30" s="167"/>
      <c r="U30" t="s">
        <v>190</v>
      </c>
      <c r="V30" s="160">
        <f>IF(ISBLANK(W23),"",(W23+X25)/Y27)</f>
      </c>
    </row>
    <row r="31" spans="3:22" ht="15.75">
      <c r="C31" s="122">
        <v>25</v>
      </c>
      <c r="D31" s="176"/>
      <c r="E31" s="176"/>
      <c r="F31" s="176"/>
      <c r="G31" s="176"/>
      <c r="H31" s="176"/>
      <c r="I31" s="176"/>
      <c r="J31" s="176"/>
      <c r="K31" s="176"/>
      <c r="L31" s="176"/>
      <c r="M31" s="176"/>
      <c r="O31" s="89" t="s">
        <v>191</v>
      </c>
      <c r="P31" s="159">
        <f>IF(ISTEXT(Q24),"",(Q24+R26)/S28)</f>
      </c>
      <c r="U31" t="s">
        <v>192</v>
      </c>
      <c r="V31" s="159">
        <f>IF(ISTEXT(W24),"",(W24+X26)/Y28)</f>
      </c>
    </row>
    <row r="32" spans="3:13" ht="13.5" thickBot="1">
      <c r="C32" s="122">
        <v>26</v>
      </c>
      <c r="D32" s="176"/>
      <c r="E32" s="176"/>
      <c r="F32" s="176"/>
      <c r="G32" s="176"/>
      <c r="H32" s="176"/>
      <c r="I32" s="176"/>
      <c r="J32" s="176"/>
      <c r="K32" s="176"/>
      <c r="L32" s="176"/>
      <c r="M32" s="176"/>
    </row>
    <row r="33" spans="3:25" ht="13.5" thickTop="1">
      <c r="C33" s="122">
        <v>27</v>
      </c>
      <c r="D33" s="176"/>
      <c r="E33" s="176"/>
      <c r="F33" s="176"/>
      <c r="G33" s="176"/>
      <c r="H33" s="176"/>
      <c r="I33" s="176"/>
      <c r="J33" s="176"/>
      <c r="K33" s="176"/>
      <c r="L33" s="176"/>
      <c r="M33" s="176"/>
      <c r="O33" s="266" t="s">
        <v>193</v>
      </c>
      <c r="P33" s="267"/>
      <c r="Q33" s="267"/>
      <c r="R33" s="267"/>
      <c r="S33" s="268"/>
      <c r="U33" s="266" t="s">
        <v>194</v>
      </c>
      <c r="V33" s="267"/>
      <c r="W33" s="267"/>
      <c r="X33" s="267"/>
      <c r="Y33" s="268"/>
    </row>
    <row r="34" spans="3:25" ht="12.75">
      <c r="C34" s="122">
        <v>28</v>
      </c>
      <c r="D34" s="176"/>
      <c r="E34" s="176"/>
      <c r="F34" s="176"/>
      <c r="G34" s="176"/>
      <c r="H34" s="176"/>
      <c r="I34" s="176"/>
      <c r="J34" s="176"/>
      <c r="K34" s="176"/>
      <c r="L34" s="176"/>
      <c r="M34" s="176"/>
      <c r="O34" s="123"/>
      <c r="P34" s="22"/>
      <c r="Q34" s="269" t="s">
        <v>188</v>
      </c>
      <c r="R34" s="269"/>
      <c r="S34" s="124" t="s">
        <v>174</v>
      </c>
      <c r="U34" s="123"/>
      <c r="V34" s="22"/>
      <c r="W34" s="93" t="s">
        <v>175</v>
      </c>
      <c r="X34" s="93"/>
      <c r="Y34" s="124" t="s">
        <v>174</v>
      </c>
    </row>
    <row r="35" spans="3:25" ht="12.75">
      <c r="C35" s="122">
        <v>29</v>
      </c>
      <c r="D35" s="176"/>
      <c r="E35" s="176"/>
      <c r="F35" s="176"/>
      <c r="G35" s="176"/>
      <c r="H35" s="176"/>
      <c r="I35" s="176"/>
      <c r="J35" s="176"/>
      <c r="K35" s="176"/>
      <c r="L35" s="176"/>
      <c r="M35" s="176"/>
      <c r="O35" s="123"/>
      <c r="P35" s="22"/>
      <c r="Q35" s="22" t="s">
        <v>177</v>
      </c>
      <c r="R35" s="22" t="s">
        <v>176</v>
      </c>
      <c r="S35" s="124"/>
      <c r="U35" s="123"/>
      <c r="V35" s="22"/>
      <c r="W35" s="22" t="s">
        <v>177</v>
      </c>
      <c r="X35" s="22" t="s">
        <v>176</v>
      </c>
      <c r="Y35" s="124"/>
    </row>
    <row r="36" spans="3:25" ht="12.75">
      <c r="C36" s="122">
        <v>30</v>
      </c>
      <c r="D36" s="176"/>
      <c r="E36" s="176"/>
      <c r="F36" s="176"/>
      <c r="G36" s="176"/>
      <c r="H36" s="176"/>
      <c r="I36" s="176"/>
      <c r="J36" s="176"/>
      <c r="K36" s="176"/>
      <c r="L36" s="176"/>
      <c r="M36" s="176"/>
      <c r="O36" s="125" t="s">
        <v>178</v>
      </c>
      <c r="P36" s="22" t="s">
        <v>177</v>
      </c>
      <c r="Q36" s="166"/>
      <c r="R36" s="166"/>
      <c r="S36" s="155">
        <f>IF(ISBLANK(Q36),"",SUM(Q36:R36))</f>
      </c>
      <c r="U36" s="271" t="s">
        <v>188</v>
      </c>
      <c r="V36" s="22" t="s">
        <v>177</v>
      </c>
      <c r="W36" s="166"/>
      <c r="X36" s="166"/>
      <c r="Y36" s="155">
        <f>IF(ISBLANK(W36),"",SUM(W36:X36))</f>
      </c>
    </row>
    <row r="37" spans="3:25" ht="12.75">
      <c r="C37" s="122">
        <v>31</v>
      </c>
      <c r="D37" s="176"/>
      <c r="E37" s="176"/>
      <c r="F37" s="176"/>
      <c r="G37" s="176"/>
      <c r="H37" s="176"/>
      <c r="I37" s="176"/>
      <c r="J37" s="176"/>
      <c r="K37" s="176"/>
      <c r="L37" s="176"/>
      <c r="M37" s="176"/>
      <c r="O37" s="125"/>
      <c r="P37" s="22" t="s">
        <v>179</v>
      </c>
      <c r="Q37" s="153">
        <f>IF(ISTEXT(S36),"",(S36*Q40)/S40)</f>
      </c>
      <c r="R37" s="153">
        <f>IF(ISTEXT(S36),"",(S36*R40)/S40)</f>
      </c>
      <c r="S37" s="154">
        <f>IF(ISTEXT(S36),"",(S36*S40)/S40)</f>
      </c>
      <c r="U37" s="271"/>
      <c r="V37" s="22" t="s">
        <v>179</v>
      </c>
      <c r="W37" s="153">
        <f>IF(ISTEXT(Y36),"",(Y36*W40)/Y40)</f>
      </c>
      <c r="X37" s="153">
        <f>IF(ISTEXT(Y36),"",(Y36*X40)/Y40)</f>
      </c>
      <c r="Y37" s="154">
        <f>IF(ISTEXT(Y36),"",(Y36*Y40)/Y40)</f>
      </c>
    </row>
    <row r="38" spans="3:25" ht="12.75">
      <c r="C38" s="122">
        <v>32</v>
      </c>
      <c r="D38" s="176"/>
      <c r="E38" s="176"/>
      <c r="F38" s="176"/>
      <c r="G38" s="176"/>
      <c r="H38" s="176"/>
      <c r="I38" s="176"/>
      <c r="J38" s="176"/>
      <c r="K38" s="176"/>
      <c r="L38" s="176"/>
      <c r="M38" s="176"/>
      <c r="O38" s="125"/>
      <c r="P38" s="22" t="s">
        <v>176</v>
      </c>
      <c r="Q38" s="166"/>
      <c r="R38" s="166"/>
      <c r="S38" s="155">
        <f>IF(ISBLANK(Q38),"",SUM(Q38:R38))</f>
      </c>
      <c r="U38" s="271"/>
      <c r="V38" s="22" t="s">
        <v>176</v>
      </c>
      <c r="W38" s="166"/>
      <c r="X38" s="166"/>
      <c r="Y38" s="155">
        <f>IF(ISBLANK(W38),"",SUM(W38:X38))</f>
      </c>
    </row>
    <row r="39" spans="3:25" ht="12.75">
      <c r="C39" s="122">
        <v>33</v>
      </c>
      <c r="D39" s="176"/>
      <c r="E39" s="176"/>
      <c r="F39" s="176"/>
      <c r="G39" s="176"/>
      <c r="H39" s="176"/>
      <c r="I39" s="176"/>
      <c r="J39" s="176"/>
      <c r="K39" s="176"/>
      <c r="L39" s="176"/>
      <c r="M39" s="176"/>
      <c r="O39" s="125"/>
      <c r="P39" s="22" t="s">
        <v>180</v>
      </c>
      <c r="Q39" s="153">
        <f>IF(ISTEXT(S38),"",(S38*Q40)/S40)</f>
      </c>
      <c r="R39" s="153">
        <f>IF(ISTEXT(S38),"",(S38*R40)/S40)</f>
      </c>
      <c r="S39" s="154">
        <f>IF(ISTEXT(S38),"",(S38*S40)/S40)</f>
      </c>
      <c r="U39" s="271"/>
      <c r="V39" s="22" t="s">
        <v>180</v>
      </c>
      <c r="W39" s="153">
        <f>IF(ISTEXT(Y38),"",(Y38*W40)/Y40)</f>
      </c>
      <c r="X39" s="153">
        <f>IF(ISTEXT(Y38),"",(Y38*X40)/Y40)</f>
      </c>
      <c r="Y39" s="154">
        <f>IF(ISTEXT(Y38),"",(Y38*Y40)/Y40)</f>
      </c>
    </row>
    <row r="40" spans="3:25" ht="12.75">
      <c r="C40" s="122">
        <v>34</v>
      </c>
      <c r="D40" s="176"/>
      <c r="E40" s="176"/>
      <c r="F40" s="176"/>
      <c r="G40" s="176"/>
      <c r="H40" s="176"/>
      <c r="I40" s="176"/>
      <c r="J40" s="176"/>
      <c r="K40" s="176"/>
      <c r="L40" s="176"/>
      <c r="M40" s="176"/>
      <c r="O40" s="271" t="s">
        <v>174</v>
      </c>
      <c r="P40" s="22" t="s">
        <v>181</v>
      </c>
      <c r="Q40" s="158">
        <f>IF(ISBLANK(Q36),"",SUM(Q36,Q38))</f>
      </c>
      <c r="R40" s="158">
        <f>IF(ISBLANK(R36),"",SUM(R36,R38))</f>
      </c>
      <c r="S40" s="155">
        <f>IF(ISTEXT(S36),"",SUM(S36,S38))</f>
      </c>
      <c r="U40" s="271" t="s">
        <v>174</v>
      </c>
      <c r="V40" s="22" t="s">
        <v>181</v>
      </c>
      <c r="W40" s="158">
        <f>IF(ISBLANK(W36),"",SUM(W36,W38))</f>
      </c>
      <c r="X40" s="158">
        <f>IF(ISBLANK(X36),"",SUM(X36,X38))</f>
      </c>
      <c r="Y40" s="155">
        <f>IF(ISTEXT(Y36),"",SUM(Y36,Y38))</f>
      </c>
    </row>
    <row r="41" spans="3:25" ht="13.5" thickBot="1">
      <c r="C41" s="122">
        <v>35</v>
      </c>
      <c r="D41" s="176"/>
      <c r="E41" s="176"/>
      <c r="F41" s="176"/>
      <c r="G41" s="176"/>
      <c r="H41" s="176"/>
      <c r="I41" s="176"/>
      <c r="J41" s="176"/>
      <c r="K41" s="176"/>
      <c r="L41" s="176"/>
      <c r="M41" s="176"/>
      <c r="O41" s="272"/>
      <c r="P41" s="129" t="s">
        <v>179</v>
      </c>
      <c r="Q41" s="157">
        <f>IF(ISTEXT(Q40),"",(Q40*S40)/S40)</f>
      </c>
      <c r="R41" s="157">
        <f>IF(ISTEXT(R40),"",(R40*S40)/S40)</f>
      </c>
      <c r="S41" s="156">
        <f>IF(ISTEXT(S40),"",(S40*S40)/S40)</f>
      </c>
      <c r="U41" s="272"/>
      <c r="V41" s="129" t="s">
        <v>179</v>
      </c>
      <c r="W41" s="157">
        <f>IF(ISTEXT(W40),"",(W40*Y40)/Y40)</f>
      </c>
      <c r="X41" s="157">
        <f>IF(ISTEXT(X40),"",(X40*Y40)/Y40)</f>
      </c>
      <c r="Y41" s="156">
        <f>IF(ISTEXT(Y40),"",(Y40*Y40)/Y40)</f>
      </c>
    </row>
    <row r="42" spans="3:13" ht="13.5" thickTop="1">
      <c r="C42" s="122">
        <v>36</v>
      </c>
      <c r="D42" s="176"/>
      <c r="E42" s="176"/>
      <c r="F42" s="176"/>
      <c r="G42" s="176"/>
      <c r="H42" s="176"/>
      <c r="I42" s="176"/>
      <c r="J42" s="176"/>
      <c r="K42" s="176"/>
      <c r="L42" s="176"/>
      <c r="M42" s="176"/>
    </row>
    <row r="43" spans="3:22" ht="15.75">
      <c r="C43" s="122">
        <v>37</v>
      </c>
      <c r="D43" s="176"/>
      <c r="E43" s="176"/>
      <c r="F43" s="176"/>
      <c r="G43" s="176"/>
      <c r="H43" s="176"/>
      <c r="I43" s="176"/>
      <c r="J43" s="176"/>
      <c r="K43" s="176"/>
      <c r="L43" s="176"/>
      <c r="M43" s="176"/>
      <c r="O43" s="89" t="s">
        <v>195</v>
      </c>
      <c r="P43" s="159">
        <f>IF(ISBLANK(Q36),"",(Q36+R38)/S40)</f>
      </c>
      <c r="U43" t="s">
        <v>196</v>
      </c>
      <c r="V43" s="160">
        <f>IF(ISBLANK(W36),"",(W36+X38)/Y40)</f>
      </c>
    </row>
    <row r="44" spans="3:22" ht="15.75">
      <c r="C44" s="122">
        <v>38</v>
      </c>
      <c r="D44" s="176"/>
      <c r="E44" s="176"/>
      <c r="F44" s="176"/>
      <c r="G44" s="176"/>
      <c r="H44" s="176"/>
      <c r="I44" s="176"/>
      <c r="J44" s="176"/>
      <c r="K44" s="176"/>
      <c r="L44" s="176"/>
      <c r="M44" s="176"/>
      <c r="O44" s="89" t="s">
        <v>197</v>
      </c>
      <c r="P44" s="159">
        <f>IF(ISTEXT(Q37),"",(Q37+R39)/S41)</f>
      </c>
      <c r="U44" t="s">
        <v>198</v>
      </c>
      <c r="V44" s="159">
        <f>IF(ISTEXT(W37),"",(W37+X39)/Y41)</f>
      </c>
    </row>
    <row r="45" spans="3:13" ht="12.75">
      <c r="C45" s="122">
        <v>39</v>
      </c>
      <c r="D45" s="176"/>
      <c r="E45" s="176"/>
      <c r="F45" s="176"/>
      <c r="G45" s="176"/>
      <c r="H45" s="176"/>
      <c r="I45" s="176"/>
      <c r="J45" s="176"/>
      <c r="K45" s="176"/>
      <c r="L45" s="176"/>
      <c r="M45" s="176"/>
    </row>
    <row r="46" spans="3:25" ht="15.75">
      <c r="C46" s="122">
        <v>40</v>
      </c>
      <c r="D46" s="176"/>
      <c r="E46" s="176"/>
      <c r="F46" s="176"/>
      <c r="G46" s="176"/>
      <c r="H46" s="176"/>
      <c r="I46" s="176"/>
      <c r="J46" s="176"/>
      <c r="K46" s="176"/>
      <c r="L46" s="176"/>
      <c r="M46" s="176"/>
      <c r="O46" s="226" t="s">
        <v>199</v>
      </c>
      <c r="P46" s="226"/>
      <c r="Q46" s="226"/>
      <c r="R46" s="226"/>
      <c r="S46" s="226"/>
      <c r="T46" s="226"/>
      <c r="U46" s="226"/>
      <c r="V46" s="226"/>
      <c r="W46" s="226"/>
      <c r="X46" s="226"/>
      <c r="Y46" s="226"/>
    </row>
    <row r="47" spans="3:13" ht="13.5" thickBot="1">
      <c r="C47" s="122">
        <v>41</v>
      </c>
      <c r="D47" s="176"/>
      <c r="E47" s="176"/>
      <c r="F47" s="176"/>
      <c r="G47" s="176"/>
      <c r="H47" s="176"/>
      <c r="I47" s="176"/>
      <c r="J47" s="176"/>
      <c r="K47" s="176"/>
      <c r="L47" s="176"/>
      <c r="M47" s="176"/>
    </row>
    <row r="48" spans="3:25" ht="13.5" thickBot="1">
      <c r="C48" s="122">
        <v>42</v>
      </c>
      <c r="D48" s="176"/>
      <c r="E48" s="176"/>
      <c r="F48" s="176"/>
      <c r="G48" s="176"/>
      <c r="H48" s="176"/>
      <c r="I48" s="176"/>
      <c r="J48" s="176"/>
      <c r="K48" s="176"/>
      <c r="L48" s="176"/>
      <c r="M48" s="176"/>
      <c r="P48" s="274" t="s">
        <v>200</v>
      </c>
      <c r="Q48" s="275"/>
      <c r="R48" s="275"/>
      <c r="S48" s="276"/>
      <c r="U48" s="133" t="s">
        <v>201</v>
      </c>
      <c r="V48" s="134"/>
      <c r="W48" s="134"/>
      <c r="X48" s="134"/>
      <c r="Y48" s="135"/>
    </row>
    <row r="49" spans="3:19" ht="13.5" thickBot="1">
      <c r="C49" s="122">
        <v>43</v>
      </c>
      <c r="D49" s="176"/>
      <c r="E49" s="176"/>
      <c r="F49" s="176"/>
      <c r="G49" s="176"/>
      <c r="H49" s="176"/>
      <c r="I49" s="176"/>
      <c r="J49" s="176"/>
      <c r="K49" s="176"/>
      <c r="L49" s="176"/>
      <c r="M49" s="176"/>
      <c r="P49" s="136"/>
      <c r="Q49" s="137"/>
      <c r="R49" s="137"/>
      <c r="S49" s="138"/>
    </row>
    <row r="50" spans="3:25" ht="12.75">
      <c r="C50" s="122">
        <v>44</v>
      </c>
      <c r="D50" s="176"/>
      <c r="E50" s="176"/>
      <c r="F50" s="176"/>
      <c r="G50" s="176"/>
      <c r="H50" s="176"/>
      <c r="I50" s="176"/>
      <c r="J50" s="176"/>
      <c r="K50" s="176"/>
      <c r="L50" s="176"/>
      <c r="M50" s="176"/>
      <c r="P50" s="139" t="s">
        <v>202</v>
      </c>
      <c r="Q50" s="140" t="s">
        <v>178</v>
      </c>
      <c r="R50" s="140" t="s">
        <v>173</v>
      </c>
      <c r="S50" s="141" t="s">
        <v>188</v>
      </c>
      <c r="V50" s="142" t="s">
        <v>202</v>
      </c>
      <c r="W50" s="143" t="s">
        <v>178</v>
      </c>
      <c r="X50" s="143" t="s">
        <v>173</v>
      </c>
      <c r="Y50" s="144" t="s">
        <v>188</v>
      </c>
    </row>
    <row r="51" spans="3:25" ht="13.5" thickBot="1">
      <c r="C51" s="122">
        <v>45</v>
      </c>
      <c r="D51" s="176"/>
      <c r="E51" s="176"/>
      <c r="F51" s="176"/>
      <c r="G51" s="176"/>
      <c r="H51" s="176"/>
      <c r="I51" s="176"/>
      <c r="J51" s="176"/>
      <c r="K51" s="176"/>
      <c r="L51" s="176"/>
      <c r="M51" s="176"/>
      <c r="P51" s="145" t="s">
        <v>178</v>
      </c>
      <c r="Q51" s="93" t="s">
        <v>203</v>
      </c>
      <c r="R51" s="161">
        <f>IF(ISTEXT(P17),"",(P17-P18)/(1-P18))</f>
      </c>
      <c r="S51" s="163">
        <f>IF(ISTEXT(P43),"",(P43-P44)/(1-P44))</f>
      </c>
      <c r="V51" s="148" t="s">
        <v>175</v>
      </c>
      <c r="W51" s="162">
        <f>IF(ISTEXT(V17),"",(V17-V18)/(1-V18))</f>
      </c>
      <c r="X51" s="162">
        <f>IF(ISTEXT(V30),"",(V30-V31)/(1-V31))</f>
      </c>
      <c r="Y51" s="164">
        <f>IF(ISTEXT(V43),"",(V43-V44)/(1-V44))</f>
      </c>
    </row>
    <row r="52" spans="3:19" ht="12.75">
      <c r="C52" s="122">
        <v>46</v>
      </c>
      <c r="D52" s="176"/>
      <c r="E52" s="176"/>
      <c r="F52" s="176"/>
      <c r="G52" s="176"/>
      <c r="H52" s="176"/>
      <c r="I52" s="176"/>
      <c r="J52" s="176"/>
      <c r="K52" s="176"/>
      <c r="L52" s="176"/>
      <c r="M52" s="176"/>
      <c r="P52" s="145" t="s">
        <v>173</v>
      </c>
      <c r="Q52" s="161">
        <f>IF(ISTEXT(P17),"",(P17-P18)/(1-P18))</f>
      </c>
      <c r="R52" s="165" t="s">
        <v>203</v>
      </c>
      <c r="S52" s="163">
        <f>IF(ISTEXT(P30),"",(P30-P31)/(1-P31))</f>
      </c>
    </row>
    <row r="53" spans="3:19" ht="13.5" thickBot="1">
      <c r="C53" s="122">
        <v>47</v>
      </c>
      <c r="D53" s="176"/>
      <c r="E53" s="176"/>
      <c r="F53" s="176"/>
      <c r="G53" s="176"/>
      <c r="H53" s="176"/>
      <c r="I53" s="176"/>
      <c r="J53" s="176"/>
      <c r="K53" s="176"/>
      <c r="L53" s="176"/>
      <c r="M53" s="176"/>
      <c r="P53" s="148" t="s">
        <v>188</v>
      </c>
      <c r="Q53" s="162">
        <f>IF(ISTEXT(P43),"",(P43-P44)/(1-P44))</f>
      </c>
      <c r="R53" s="162">
        <f>IF(ISTEXT(P30),"",(P30-P31)/(1-P31))</f>
      </c>
      <c r="S53" s="151" t="s">
        <v>203</v>
      </c>
    </row>
    <row r="54" spans="3:13" ht="12.75">
      <c r="C54" s="122">
        <v>48</v>
      </c>
      <c r="D54" s="176"/>
      <c r="E54" s="176"/>
      <c r="F54" s="176"/>
      <c r="G54" s="176"/>
      <c r="H54" s="176"/>
      <c r="I54" s="176"/>
      <c r="J54" s="176"/>
      <c r="K54" s="176"/>
      <c r="L54" s="176"/>
      <c r="M54" s="176"/>
    </row>
    <row r="55" spans="3:13" ht="12.75">
      <c r="C55" s="122">
        <v>49</v>
      </c>
      <c r="D55" s="176"/>
      <c r="E55" s="176"/>
      <c r="F55" s="176"/>
      <c r="G55" s="176"/>
      <c r="H55" s="176"/>
      <c r="I55" s="176"/>
      <c r="J55" s="176"/>
      <c r="K55" s="176"/>
      <c r="L55" s="176"/>
      <c r="M55" s="176"/>
    </row>
    <row r="56" spans="3:13" ht="12.75">
      <c r="C56" s="122">
        <v>50</v>
      </c>
      <c r="D56" s="176"/>
      <c r="E56" s="176"/>
      <c r="F56" s="176"/>
      <c r="G56" s="176"/>
      <c r="H56" s="176"/>
      <c r="I56" s="176"/>
      <c r="J56" s="176"/>
      <c r="K56" s="176"/>
      <c r="L56" s="176"/>
      <c r="M56" s="176"/>
    </row>
    <row r="57" spans="15:25" ht="12.75">
      <c r="O57" s="273" t="s">
        <v>204</v>
      </c>
      <c r="P57" s="273"/>
      <c r="Q57" s="273"/>
      <c r="R57" s="273"/>
      <c r="S57" s="273"/>
      <c r="T57" s="273"/>
      <c r="U57" s="273"/>
      <c r="V57" s="273"/>
      <c r="W57" s="273"/>
      <c r="X57" s="273"/>
      <c r="Y57" s="273"/>
    </row>
    <row r="58" spans="3:25" ht="12.75">
      <c r="C58" s="93" t="s">
        <v>205</v>
      </c>
      <c r="D58" s="22" t="s">
        <v>206</v>
      </c>
      <c r="O58" s="273"/>
      <c r="P58" s="273"/>
      <c r="Q58" s="273"/>
      <c r="R58" s="273"/>
      <c r="S58" s="273"/>
      <c r="T58" s="273"/>
      <c r="U58" s="273"/>
      <c r="V58" s="273"/>
      <c r="W58" s="273"/>
      <c r="X58" s="273"/>
      <c r="Y58" s="273"/>
    </row>
    <row r="59" spans="3:25" ht="12.75">
      <c r="C59" s="22"/>
      <c r="D59" s="22" t="s">
        <v>207</v>
      </c>
      <c r="O59" s="273"/>
      <c r="P59" s="273"/>
      <c r="Q59" s="273"/>
      <c r="R59" s="273"/>
      <c r="S59" s="273"/>
      <c r="T59" s="273"/>
      <c r="U59" s="273"/>
      <c r="V59" s="273"/>
      <c r="W59" s="273"/>
      <c r="X59" s="273"/>
      <c r="Y59" s="273"/>
    </row>
    <row r="60" spans="15:25" ht="12.75">
      <c r="O60" s="273"/>
      <c r="P60" s="273"/>
      <c r="Q60" s="273"/>
      <c r="R60" s="273"/>
      <c r="S60" s="273"/>
      <c r="T60" s="273"/>
      <c r="U60" s="273"/>
      <c r="V60" s="273"/>
      <c r="W60" s="273"/>
      <c r="X60" s="273"/>
      <c r="Y60" s="273"/>
    </row>
    <row r="61" ht="12.75" customHeight="1"/>
  </sheetData>
  <sheetProtection password="CF48" sheet="1" objects="1" scenarios="1" selectLockedCells="1"/>
  <mergeCells count="38">
    <mergeCell ref="A4:C4"/>
    <mergeCell ref="D4:J4"/>
    <mergeCell ref="M4:N4"/>
    <mergeCell ref="M1:N1"/>
    <mergeCell ref="M2:N2"/>
    <mergeCell ref="M3:N3"/>
    <mergeCell ref="D1:J1"/>
    <mergeCell ref="D2:J2"/>
    <mergeCell ref="D3:J3"/>
    <mergeCell ref="O57:Y60"/>
    <mergeCell ref="O40:O41"/>
    <mergeCell ref="U40:U41"/>
    <mergeCell ref="O46:Y46"/>
    <mergeCell ref="P48:S48"/>
    <mergeCell ref="O33:S33"/>
    <mergeCell ref="U33:Y33"/>
    <mergeCell ref="Q34:R34"/>
    <mergeCell ref="U36:U39"/>
    <mergeCell ref="O23:O26"/>
    <mergeCell ref="U23:U26"/>
    <mergeCell ref="O27:O28"/>
    <mergeCell ref="U27:U28"/>
    <mergeCell ref="O20:S20"/>
    <mergeCell ref="U20:Y20"/>
    <mergeCell ref="Q21:R21"/>
    <mergeCell ref="S21:S22"/>
    <mergeCell ref="W21:X21"/>
    <mergeCell ref="Y21:Y22"/>
    <mergeCell ref="O10:O13"/>
    <mergeCell ref="U10:U13"/>
    <mergeCell ref="O14:O15"/>
    <mergeCell ref="U14:U15"/>
    <mergeCell ref="O7:S7"/>
    <mergeCell ref="U7:Y7"/>
    <mergeCell ref="Q8:R8"/>
    <mergeCell ref="S8:S9"/>
    <mergeCell ref="W8:X8"/>
    <mergeCell ref="Y8:Y9"/>
  </mergeCells>
  <printOptions horizontalCentered="1" verticalCentered="1"/>
  <pageMargins left="0.34" right="0.33" top="0.49" bottom="0.25" header="0.17" footer="0"/>
  <pageSetup horizontalDpi="600" verticalDpi="600" orientation="portrait" scale="93" r:id="rId1"/>
  <headerFooter alignWithMargins="0">
    <oddFooter>&amp;LForm 827  Rev. A  08-Jul-03</oddFooter>
  </headerFooter>
  <colBreaks count="1" manualBreakCount="1">
    <brk id="14" max="65535" man="1"/>
  </colBreaks>
</worksheet>
</file>

<file path=xl/worksheets/sheet11.xml><?xml version="1.0" encoding="utf-8"?>
<worksheet xmlns="http://schemas.openxmlformats.org/spreadsheetml/2006/main" xmlns:r="http://schemas.openxmlformats.org/officeDocument/2006/relationships">
  <dimension ref="A1:Y59"/>
  <sheetViews>
    <sheetView zoomScale="80" zoomScaleNormal="80" workbookViewId="0" topLeftCell="A1">
      <selection activeCell="A1" sqref="A1"/>
    </sheetView>
  </sheetViews>
  <sheetFormatPr defaultColWidth="9.140625" defaultRowHeight="12.75"/>
  <cols>
    <col min="1" max="1" width="6.57421875" style="0" customWidth="1"/>
    <col min="2" max="2" width="3.8515625" style="0" bestFit="1" customWidth="1"/>
    <col min="3" max="3" width="10.28125" style="0" customWidth="1"/>
    <col min="4" max="10" width="3.8515625" style="0" bestFit="1" customWidth="1"/>
    <col min="11" max="11" width="4.8515625" style="0" customWidth="1"/>
    <col min="12" max="12" width="15.7109375" style="0" customWidth="1"/>
    <col min="13" max="13" width="17.28125" style="0" bestFit="1" customWidth="1"/>
    <col min="14" max="14" width="6.140625" style="0" customWidth="1"/>
    <col min="15" max="15" width="7.28125" style="0" customWidth="1"/>
    <col min="16" max="16" width="14.421875" style="0" bestFit="1" customWidth="1"/>
    <col min="17" max="17" width="7.28125" style="0" customWidth="1"/>
    <col min="18" max="18" width="7.57421875" style="0" customWidth="1"/>
    <col min="19" max="19" width="6.8515625" style="0" customWidth="1"/>
    <col min="20" max="20" width="2.28125" style="0" customWidth="1"/>
    <col min="21" max="21" width="9.28125" style="0" customWidth="1"/>
    <col min="22" max="22" width="14.421875" style="0" bestFit="1" customWidth="1"/>
    <col min="23" max="23" width="7.8515625" style="0" customWidth="1"/>
    <col min="24" max="24" width="7.57421875" style="0" customWidth="1"/>
    <col min="25" max="25" width="7.140625" style="0" customWidth="1"/>
  </cols>
  <sheetData>
    <row r="1" spans="1:13" ht="12.75">
      <c r="A1" s="40" t="s">
        <v>150</v>
      </c>
      <c r="D1" t="s">
        <v>151</v>
      </c>
      <c r="K1" s="40" t="s">
        <v>152</v>
      </c>
      <c r="M1" t="s">
        <v>153</v>
      </c>
    </row>
    <row r="2" spans="1:13" ht="12.75">
      <c r="A2" s="40" t="s">
        <v>154</v>
      </c>
      <c r="D2" t="s">
        <v>155</v>
      </c>
      <c r="K2" s="40" t="s">
        <v>156</v>
      </c>
      <c r="M2" s="121">
        <v>37807</v>
      </c>
    </row>
    <row r="3" spans="1:4" ht="12.75">
      <c r="A3" s="40" t="s">
        <v>157</v>
      </c>
      <c r="D3" t="s">
        <v>158</v>
      </c>
    </row>
    <row r="5" spans="3:13" ht="13.5" thickBot="1">
      <c r="C5" s="122" t="s">
        <v>159</v>
      </c>
      <c r="D5" s="122" t="s">
        <v>160</v>
      </c>
      <c r="E5" s="122" t="s">
        <v>161</v>
      </c>
      <c r="F5" s="122" t="s">
        <v>162</v>
      </c>
      <c r="G5" s="122" t="s">
        <v>163</v>
      </c>
      <c r="H5" s="122" t="s">
        <v>164</v>
      </c>
      <c r="I5" s="122" t="s">
        <v>165</v>
      </c>
      <c r="J5" s="122" t="s">
        <v>166</v>
      </c>
      <c r="K5" s="122" t="s">
        <v>167</v>
      </c>
      <c r="L5" s="122" t="s">
        <v>168</v>
      </c>
      <c r="M5" s="122" t="s">
        <v>169</v>
      </c>
    </row>
    <row r="6" spans="3:25" ht="13.5" thickTop="1">
      <c r="C6" s="122">
        <v>1</v>
      </c>
      <c r="D6" s="122" t="s">
        <v>170</v>
      </c>
      <c r="E6" s="122" t="s">
        <v>170</v>
      </c>
      <c r="F6" s="122"/>
      <c r="G6" s="122" t="s">
        <v>170</v>
      </c>
      <c r="H6" s="122" t="s">
        <v>170</v>
      </c>
      <c r="I6" s="122"/>
      <c r="J6" s="122" t="s">
        <v>170</v>
      </c>
      <c r="K6" s="122" t="s">
        <v>170</v>
      </c>
      <c r="L6" s="122"/>
      <c r="M6" s="122" t="s">
        <v>170</v>
      </c>
      <c r="O6" s="266" t="s">
        <v>171</v>
      </c>
      <c r="P6" s="267"/>
      <c r="Q6" s="267"/>
      <c r="R6" s="267"/>
      <c r="S6" s="268"/>
      <c r="U6" s="266" t="s">
        <v>172</v>
      </c>
      <c r="V6" s="267"/>
      <c r="W6" s="267"/>
      <c r="X6" s="267"/>
      <c r="Y6" s="268"/>
    </row>
    <row r="7" spans="3:25" ht="12.75">
      <c r="C7" s="122">
        <v>2</v>
      </c>
      <c r="D7" s="122" t="s">
        <v>170</v>
      </c>
      <c r="E7" s="122" t="s">
        <v>170</v>
      </c>
      <c r="F7" s="122"/>
      <c r="G7" s="122" t="s">
        <v>170</v>
      </c>
      <c r="H7" s="122" t="s">
        <v>170</v>
      </c>
      <c r="I7" s="122"/>
      <c r="J7" s="122" t="s">
        <v>170</v>
      </c>
      <c r="K7" s="122" t="s">
        <v>170</v>
      </c>
      <c r="L7" s="122"/>
      <c r="M7" s="122" t="s">
        <v>170</v>
      </c>
      <c r="O7" s="123"/>
      <c r="P7" s="22"/>
      <c r="Q7" s="269" t="s">
        <v>173</v>
      </c>
      <c r="R7" s="269"/>
      <c r="S7" s="270" t="s">
        <v>174</v>
      </c>
      <c r="U7" s="123"/>
      <c r="V7" s="22"/>
      <c r="W7" s="269" t="s">
        <v>175</v>
      </c>
      <c r="X7" s="269"/>
      <c r="Y7" s="270" t="s">
        <v>174</v>
      </c>
    </row>
    <row r="8" spans="3:25" ht="12.75">
      <c r="C8" s="122">
        <v>3</v>
      </c>
      <c r="D8" s="122" t="s">
        <v>170</v>
      </c>
      <c r="E8" s="122" t="s">
        <v>170</v>
      </c>
      <c r="F8" s="122"/>
      <c r="G8" s="122" t="s">
        <v>170</v>
      </c>
      <c r="H8" s="122" t="s">
        <v>170</v>
      </c>
      <c r="I8" s="122"/>
      <c r="J8" s="122" t="s">
        <v>170</v>
      </c>
      <c r="K8" s="122" t="s">
        <v>170</v>
      </c>
      <c r="L8" s="122"/>
      <c r="M8" s="122" t="s">
        <v>170</v>
      </c>
      <c r="O8" s="123"/>
      <c r="P8" s="22"/>
      <c r="Q8" s="22" t="s">
        <v>177</v>
      </c>
      <c r="R8" s="22" t="s">
        <v>176</v>
      </c>
      <c r="S8" s="270"/>
      <c r="U8" s="123"/>
      <c r="V8" s="22"/>
      <c r="W8" s="22" t="s">
        <v>177</v>
      </c>
      <c r="X8" s="22" t="s">
        <v>176</v>
      </c>
      <c r="Y8" s="270"/>
    </row>
    <row r="9" spans="3:25" ht="12.75">
      <c r="C9" s="122">
        <v>4</v>
      </c>
      <c r="D9" s="122" t="s">
        <v>170</v>
      </c>
      <c r="E9" s="122" t="s">
        <v>170</v>
      </c>
      <c r="F9" s="122"/>
      <c r="G9" s="122" t="s">
        <v>170</v>
      </c>
      <c r="H9" s="122" t="s">
        <v>170</v>
      </c>
      <c r="I9" s="122"/>
      <c r="J9" s="122" t="s">
        <v>170</v>
      </c>
      <c r="K9" s="122" t="s">
        <v>170</v>
      </c>
      <c r="L9" s="122"/>
      <c r="M9" s="122" t="s">
        <v>170</v>
      </c>
      <c r="O9" s="271" t="s">
        <v>178</v>
      </c>
      <c r="P9" s="22" t="s">
        <v>177</v>
      </c>
      <c r="Q9" s="93">
        <v>76</v>
      </c>
      <c r="R9" s="93">
        <v>1</v>
      </c>
      <c r="S9" s="126">
        <f>SUM(Q9:R9)</f>
        <v>77</v>
      </c>
      <c r="U9" s="271" t="s">
        <v>178</v>
      </c>
      <c r="V9" s="22" t="s">
        <v>177</v>
      </c>
      <c r="W9" s="93">
        <v>77</v>
      </c>
      <c r="X9" s="93">
        <v>0</v>
      </c>
      <c r="Y9" s="126">
        <f>SUM(W9:X9)</f>
        <v>77</v>
      </c>
    </row>
    <row r="10" spans="3:25" ht="12.75">
      <c r="C10" s="122">
        <v>5</v>
      </c>
      <c r="D10" s="122" t="s">
        <v>170</v>
      </c>
      <c r="E10" s="122" t="s">
        <v>170</v>
      </c>
      <c r="F10" s="122"/>
      <c r="G10" s="122" t="s">
        <v>170</v>
      </c>
      <c r="H10" s="122" t="s">
        <v>170</v>
      </c>
      <c r="I10" s="122"/>
      <c r="J10" s="122" t="s">
        <v>170</v>
      </c>
      <c r="K10" s="122" t="s">
        <v>170</v>
      </c>
      <c r="L10" s="122"/>
      <c r="M10" s="122" t="s">
        <v>170</v>
      </c>
      <c r="O10" s="271"/>
      <c r="P10" s="22" t="s">
        <v>179</v>
      </c>
      <c r="Q10" s="127">
        <f>(S9*Q13)/S13</f>
        <v>63.91</v>
      </c>
      <c r="R10" s="127">
        <f>(S9*R13)/S13</f>
        <v>13.09</v>
      </c>
      <c r="S10" s="128">
        <f>(S9*S13)/S13</f>
        <v>77</v>
      </c>
      <c r="U10" s="271"/>
      <c r="V10" s="22" t="s">
        <v>179</v>
      </c>
      <c r="W10" s="127">
        <f>(Y9*W13)/Y13</f>
        <v>64.68</v>
      </c>
      <c r="X10" s="127">
        <f>(Y9*X13)/Y13</f>
        <v>12.32</v>
      </c>
      <c r="Y10" s="128">
        <f>(Y9*Y13)/Y13</f>
        <v>77</v>
      </c>
    </row>
    <row r="11" spans="3:25" ht="12.75">
      <c r="C11" s="122">
        <v>6</v>
      </c>
      <c r="D11" s="122" t="s">
        <v>170</v>
      </c>
      <c r="E11" s="122" t="s">
        <v>170</v>
      </c>
      <c r="F11" s="122"/>
      <c r="G11" s="122" t="s">
        <v>170</v>
      </c>
      <c r="H11" s="122" t="s">
        <v>170</v>
      </c>
      <c r="I11" s="122"/>
      <c r="J11" s="122" t="s">
        <v>170</v>
      </c>
      <c r="K11" s="122" t="s">
        <v>170</v>
      </c>
      <c r="L11" s="122"/>
      <c r="M11" s="122" t="s">
        <v>170</v>
      </c>
      <c r="O11" s="271"/>
      <c r="P11" s="22" t="s">
        <v>176</v>
      </c>
      <c r="Q11" s="93">
        <v>7</v>
      </c>
      <c r="R11" s="93">
        <v>16</v>
      </c>
      <c r="S11" s="126">
        <f>SUM(Q11:R11)</f>
        <v>23</v>
      </c>
      <c r="U11" s="271"/>
      <c r="V11" s="22" t="s">
        <v>176</v>
      </c>
      <c r="W11" s="93">
        <v>7</v>
      </c>
      <c r="X11" s="93">
        <v>16</v>
      </c>
      <c r="Y11" s="126">
        <f>SUM(W11:X11)</f>
        <v>23</v>
      </c>
    </row>
    <row r="12" spans="3:25" ht="12.75">
      <c r="C12" s="122">
        <v>7</v>
      </c>
      <c r="D12" s="122" t="s">
        <v>170</v>
      </c>
      <c r="E12" s="122" t="s">
        <v>170</v>
      </c>
      <c r="F12" s="122"/>
      <c r="G12" s="122" t="s">
        <v>170</v>
      </c>
      <c r="H12" s="122" t="s">
        <v>170</v>
      </c>
      <c r="I12" s="122"/>
      <c r="J12" s="122" t="s">
        <v>170</v>
      </c>
      <c r="K12" s="122" t="s">
        <v>170</v>
      </c>
      <c r="L12" s="122"/>
      <c r="M12" s="122" t="s">
        <v>170</v>
      </c>
      <c r="O12" s="271"/>
      <c r="P12" s="22" t="s">
        <v>180</v>
      </c>
      <c r="Q12" s="127">
        <f>(S11*Q13)/S13</f>
        <v>19.09</v>
      </c>
      <c r="R12" s="127">
        <f>(S11*R13)/S13</f>
        <v>3.91</v>
      </c>
      <c r="S12" s="128">
        <f>(S11*S13)/S13</f>
        <v>23</v>
      </c>
      <c r="U12" s="271"/>
      <c r="V12" s="22" t="s">
        <v>180</v>
      </c>
      <c r="W12" s="127">
        <f>(Y11*W13)/Y13</f>
        <v>19.32</v>
      </c>
      <c r="X12" s="127">
        <f>(Y11*X13)/Y13</f>
        <v>3.68</v>
      </c>
      <c r="Y12" s="128">
        <f>(Y11*Y13)/Y13</f>
        <v>23</v>
      </c>
    </row>
    <row r="13" spans="3:25" ht="12.75">
      <c r="C13" s="122">
        <v>8</v>
      </c>
      <c r="D13" s="122" t="s">
        <v>170</v>
      </c>
      <c r="E13" s="122" t="s">
        <v>170</v>
      </c>
      <c r="F13" s="122"/>
      <c r="G13" s="122" t="s">
        <v>170</v>
      </c>
      <c r="H13" s="122" t="s">
        <v>170</v>
      </c>
      <c r="I13" s="122"/>
      <c r="J13" s="122" t="s">
        <v>170</v>
      </c>
      <c r="K13" s="122" t="s">
        <v>170</v>
      </c>
      <c r="L13" s="122"/>
      <c r="M13" s="122" t="s">
        <v>170</v>
      </c>
      <c r="O13" s="271" t="s">
        <v>174</v>
      </c>
      <c r="P13" s="22" t="s">
        <v>181</v>
      </c>
      <c r="Q13" s="93">
        <f>SUM(Q9,Q11)</f>
        <v>83</v>
      </c>
      <c r="R13" s="93">
        <f>SUM(R9,R11)</f>
        <v>17</v>
      </c>
      <c r="S13" s="126">
        <f>SUM(S9,S11)</f>
        <v>100</v>
      </c>
      <c r="U13" s="271" t="s">
        <v>174</v>
      </c>
      <c r="V13" s="22" t="s">
        <v>181</v>
      </c>
      <c r="W13" s="93">
        <f>SUM(W9,W11)</f>
        <v>84</v>
      </c>
      <c r="X13" s="93">
        <f>SUM(X9,X11)</f>
        <v>16</v>
      </c>
      <c r="Y13" s="126">
        <f>SUM(Y9,Y11)</f>
        <v>100</v>
      </c>
    </row>
    <row r="14" spans="3:25" ht="13.5" thickBot="1">
      <c r="C14" s="122">
        <v>9</v>
      </c>
      <c r="D14" s="122" t="s">
        <v>173</v>
      </c>
      <c r="E14" s="122" t="s">
        <v>173</v>
      </c>
      <c r="F14" s="122"/>
      <c r="G14" s="122" t="s">
        <v>173</v>
      </c>
      <c r="H14" s="122" t="s">
        <v>173</v>
      </c>
      <c r="I14" s="122"/>
      <c r="J14" s="122" t="s">
        <v>173</v>
      </c>
      <c r="K14" s="122" t="s">
        <v>173</v>
      </c>
      <c r="L14" s="122"/>
      <c r="M14" s="122" t="s">
        <v>173</v>
      </c>
      <c r="O14" s="272"/>
      <c r="P14" s="129" t="s">
        <v>179</v>
      </c>
      <c r="Q14" s="130">
        <f>(Q13*S13)/S13</f>
        <v>83</v>
      </c>
      <c r="R14" s="130">
        <f>(R13*S13)/S13</f>
        <v>17</v>
      </c>
      <c r="S14" s="131">
        <f>(S13*S13)/S13</f>
        <v>100</v>
      </c>
      <c r="U14" s="272"/>
      <c r="V14" s="129" t="s">
        <v>179</v>
      </c>
      <c r="W14" s="130">
        <f>(W13*Y13)/Y13</f>
        <v>84</v>
      </c>
      <c r="X14" s="130">
        <f>(X13*Y13)/Y13</f>
        <v>16</v>
      </c>
      <c r="Y14" s="131">
        <f>(Y13*Y13)/Y13</f>
        <v>100</v>
      </c>
    </row>
    <row r="15" spans="3:13" ht="13.5" thickTop="1">
      <c r="C15" s="122">
        <v>10</v>
      </c>
      <c r="D15" s="122" t="s">
        <v>173</v>
      </c>
      <c r="E15" s="122" t="s">
        <v>173</v>
      </c>
      <c r="F15" s="122"/>
      <c r="G15" s="122" t="s">
        <v>173</v>
      </c>
      <c r="H15" s="122" t="s">
        <v>173</v>
      </c>
      <c r="I15" s="122"/>
      <c r="J15" s="122" t="s">
        <v>173</v>
      </c>
      <c r="K15" s="122" t="s">
        <v>173</v>
      </c>
      <c r="L15" s="122"/>
      <c r="M15" s="122" t="s">
        <v>173</v>
      </c>
    </row>
    <row r="16" spans="3:22" ht="15.75">
      <c r="C16" s="122">
        <v>11</v>
      </c>
      <c r="D16" s="122" t="s">
        <v>170</v>
      </c>
      <c r="E16" s="122" t="s">
        <v>170</v>
      </c>
      <c r="F16" s="122"/>
      <c r="G16" s="122" t="s">
        <v>170</v>
      </c>
      <c r="H16" s="122" t="s">
        <v>170</v>
      </c>
      <c r="I16" s="122"/>
      <c r="J16" s="122" t="s">
        <v>170</v>
      </c>
      <c r="K16" s="122" t="s">
        <v>170</v>
      </c>
      <c r="L16" s="122"/>
      <c r="M16" s="122" t="s">
        <v>170</v>
      </c>
      <c r="O16" s="89" t="s">
        <v>182</v>
      </c>
      <c r="P16" s="132">
        <f>(Q9+R11)/S13</f>
        <v>0.92</v>
      </c>
      <c r="U16" t="s">
        <v>183</v>
      </c>
      <c r="V16" s="89">
        <f>(W9+X11)/Y13</f>
        <v>0.93</v>
      </c>
    </row>
    <row r="17" spans="3:22" ht="15.75">
      <c r="C17" s="122">
        <v>12</v>
      </c>
      <c r="D17" s="122" t="s">
        <v>170</v>
      </c>
      <c r="E17" s="122" t="s">
        <v>170</v>
      </c>
      <c r="F17" s="122"/>
      <c r="G17" s="122" t="s">
        <v>170</v>
      </c>
      <c r="H17" s="122" t="s">
        <v>170</v>
      </c>
      <c r="I17" s="122"/>
      <c r="J17" s="122" t="s">
        <v>170</v>
      </c>
      <c r="K17" s="122" t="s">
        <v>170</v>
      </c>
      <c r="L17" s="122"/>
      <c r="M17" s="122" t="s">
        <v>170</v>
      </c>
      <c r="O17" s="89" t="s">
        <v>184</v>
      </c>
      <c r="P17" s="132">
        <f>(Q10+R12)/S14</f>
        <v>0.6781999999999999</v>
      </c>
      <c r="U17" t="s">
        <v>185</v>
      </c>
      <c r="V17" s="132">
        <f>(W10+X12)/Y14</f>
        <v>0.6836000000000001</v>
      </c>
    </row>
    <row r="18" spans="3:13" ht="13.5" thickBot="1">
      <c r="C18" s="122">
        <v>13</v>
      </c>
      <c r="D18" s="122" t="s">
        <v>170</v>
      </c>
      <c r="E18" s="122" t="s">
        <v>170</v>
      </c>
      <c r="F18" s="122"/>
      <c r="G18" s="122" t="s">
        <v>170</v>
      </c>
      <c r="H18" s="122" t="s">
        <v>170</v>
      </c>
      <c r="I18" s="122"/>
      <c r="J18" s="122" t="s">
        <v>170</v>
      </c>
      <c r="K18" s="122" t="s">
        <v>170</v>
      </c>
      <c r="L18" s="122"/>
      <c r="M18" s="122" t="s">
        <v>170</v>
      </c>
    </row>
    <row r="19" spans="3:25" ht="13.5" thickTop="1">
      <c r="C19" s="122">
        <v>14</v>
      </c>
      <c r="D19" s="122" t="s">
        <v>170</v>
      </c>
      <c r="E19" s="122" t="s">
        <v>170</v>
      </c>
      <c r="F19" s="122"/>
      <c r="G19" s="122" t="s">
        <v>170</v>
      </c>
      <c r="H19" s="122" t="s">
        <v>170</v>
      </c>
      <c r="I19" s="122"/>
      <c r="J19" s="122" t="s">
        <v>170</v>
      </c>
      <c r="K19" s="122" t="s">
        <v>170</v>
      </c>
      <c r="L19" s="122"/>
      <c r="M19" s="122" t="s">
        <v>170</v>
      </c>
      <c r="O19" s="266" t="s">
        <v>186</v>
      </c>
      <c r="P19" s="267"/>
      <c r="Q19" s="267"/>
      <c r="R19" s="267"/>
      <c r="S19" s="268"/>
      <c r="U19" s="266" t="s">
        <v>187</v>
      </c>
      <c r="V19" s="267"/>
      <c r="W19" s="267"/>
      <c r="X19" s="267"/>
      <c r="Y19" s="268"/>
    </row>
    <row r="20" spans="3:25" ht="12.75">
      <c r="C20" s="122">
        <v>15</v>
      </c>
      <c r="D20" s="122" t="s">
        <v>170</v>
      </c>
      <c r="E20" s="122" t="s">
        <v>170</v>
      </c>
      <c r="F20" s="122"/>
      <c r="G20" s="122" t="s">
        <v>170</v>
      </c>
      <c r="H20" s="122" t="s">
        <v>170</v>
      </c>
      <c r="I20" s="122"/>
      <c r="J20" s="122" t="s">
        <v>170</v>
      </c>
      <c r="K20" s="122" t="s">
        <v>170</v>
      </c>
      <c r="L20" s="122"/>
      <c r="M20" s="122" t="s">
        <v>170</v>
      </c>
      <c r="O20" s="123"/>
      <c r="P20" s="22"/>
      <c r="Q20" s="269" t="s">
        <v>188</v>
      </c>
      <c r="R20" s="269"/>
      <c r="S20" s="270" t="s">
        <v>174</v>
      </c>
      <c r="U20" s="123"/>
      <c r="V20" s="22"/>
      <c r="W20" s="269" t="s">
        <v>175</v>
      </c>
      <c r="X20" s="269"/>
      <c r="Y20" s="270" t="s">
        <v>174</v>
      </c>
    </row>
    <row r="21" spans="3:25" ht="12.75">
      <c r="C21" s="122">
        <v>16</v>
      </c>
      <c r="D21" s="122" t="s">
        <v>173</v>
      </c>
      <c r="E21" s="122" t="s">
        <v>173</v>
      </c>
      <c r="F21" s="122"/>
      <c r="G21" s="122" t="s">
        <v>173</v>
      </c>
      <c r="H21" s="122" t="s">
        <v>173</v>
      </c>
      <c r="I21" s="122"/>
      <c r="J21" s="122" t="s">
        <v>173</v>
      </c>
      <c r="K21" s="122" t="s">
        <v>173</v>
      </c>
      <c r="L21" s="122"/>
      <c r="M21" s="122" t="s">
        <v>173</v>
      </c>
      <c r="O21" s="123"/>
      <c r="P21" s="22"/>
      <c r="Q21" s="22" t="s">
        <v>177</v>
      </c>
      <c r="R21" s="22" t="s">
        <v>176</v>
      </c>
      <c r="S21" s="270"/>
      <c r="U21" s="123"/>
      <c r="V21" s="22"/>
      <c r="W21" s="22" t="s">
        <v>177</v>
      </c>
      <c r="X21" s="22" t="s">
        <v>176</v>
      </c>
      <c r="Y21" s="270"/>
    </row>
    <row r="22" spans="3:25" ht="12.75">
      <c r="C22" s="122">
        <v>17</v>
      </c>
      <c r="D22" s="122" t="s">
        <v>170</v>
      </c>
      <c r="E22" s="122" t="s">
        <v>170</v>
      </c>
      <c r="F22" s="122"/>
      <c r="G22" s="122" t="s">
        <v>170</v>
      </c>
      <c r="H22" s="122" t="s">
        <v>170</v>
      </c>
      <c r="I22" s="122"/>
      <c r="J22" s="122" t="s">
        <v>170</v>
      </c>
      <c r="K22" s="122" t="s">
        <v>170</v>
      </c>
      <c r="L22" s="122"/>
      <c r="M22" s="122" t="s">
        <v>170</v>
      </c>
      <c r="O22" s="271" t="s">
        <v>173</v>
      </c>
      <c r="P22" s="22" t="s">
        <v>177</v>
      </c>
      <c r="Q22" s="93">
        <v>82</v>
      </c>
      <c r="R22" s="93">
        <v>0</v>
      </c>
      <c r="S22" s="126">
        <f>SUM(Q22:R22)</f>
        <v>82</v>
      </c>
      <c r="U22" s="271" t="s">
        <v>173</v>
      </c>
      <c r="V22" s="22" t="s">
        <v>177</v>
      </c>
      <c r="W22" s="93">
        <v>82</v>
      </c>
      <c r="X22" s="93">
        <v>0</v>
      </c>
      <c r="Y22" s="126">
        <f>SUM(W22:X22)</f>
        <v>82</v>
      </c>
    </row>
    <row r="23" spans="3:25" ht="12.75">
      <c r="C23" s="122">
        <v>18</v>
      </c>
      <c r="D23" s="122" t="s">
        <v>170</v>
      </c>
      <c r="E23" s="122" t="s">
        <v>173</v>
      </c>
      <c r="F23" s="122"/>
      <c r="G23" s="122" t="s">
        <v>170</v>
      </c>
      <c r="H23" s="122" t="s">
        <v>170</v>
      </c>
      <c r="I23" s="122"/>
      <c r="J23" s="122" t="s">
        <v>170</v>
      </c>
      <c r="K23" s="122" t="s">
        <v>170</v>
      </c>
      <c r="L23" s="122"/>
      <c r="M23" s="122" t="s">
        <v>170</v>
      </c>
      <c r="O23" s="271"/>
      <c r="P23" s="22" t="s">
        <v>179</v>
      </c>
      <c r="Q23" s="127">
        <f>(S22*Q26)/S26</f>
        <v>68.88</v>
      </c>
      <c r="R23" s="127">
        <f>(S22*R26)/S26</f>
        <v>13.12</v>
      </c>
      <c r="S23" s="128">
        <f>(S22*S26)/S26</f>
        <v>82</v>
      </c>
      <c r="U23" s="271"/>
      <c r="V23" s="22" t="s">
        <v>179</v>
      </c>
      <c r="W23" s="127">
        <f>(Y22*W26)/Y26</f>
        <v>68.88</v>
      </c>
      <c r="X23" s="127">
        <f>(Y22*X26)/Y26</f>
        <v>13.12</v>
      </c>
      <c r="Y23" s="128">
        <f>(Y22*Y26)/Y26</f>
        <v>82</v>
      </c>
    </row>
    <row r="24" spans="3:25" ht="12.75">
      <c r="C24" s="122">
        <v>19</v>
      </c>
      <c r="D24" s="122" t="s">
        <v>170</v>
      </c>
      <c r="E24" s="122" t="s">
        <v>170</v>
      </c>
      <c r="F24" s="122"/>
      <c r="G24" s="122" t="s">
        <v>170</v>
      </c>
      <c r="H24" s="122" t="s">
        <v>170</v>
      </c>
      <c r="I24" s="122"/>
      <c r="J24" s="122" t="s">
        <v>170</v>
      </c>
      <c r="K24" s="122" t="s">
        <v>170</v>
      </c>
      <c r="L24" s="122"/>
      <c r="M24" s="122" t="s">
        <v>170</v>
      </c>
      <c r="O24" s="271"/>
      <c r="P24" s="22" t="s">
        <v>176</v>
      </c>
      <c r="Q24" s="93">
        <v>2</v>
      </c>
      <c r="R24" s="93">
        <v>16</v>
      </c>
      <c r="S24" s="126">
        <f>SUM(Q24:R24)</f>
        <v>18</v>
      </c>
      <c r="U24" s="271"/>
      <c r="V24" s="22" t="s">
        <v>176</v>
      </c>
      <c r="W24" s="93">
        <v>2</v>
      </c>
      <c r="X24" s="93">
        <v>16</v>
      </c>
      <c r="Y24" s="126">
        <f>SUM(W24:X24)</f>
        <v>18</v>
      </c>
    </row>
    <row r="25" spans="3:25" ht="12.75">
      <c r="C25" s="122">
        <v>20</v>
      </c>
      <c r="D25" s="122" t="s">
        <v>170</v>
      </c>
      <c r="E25" s="122" t="s">
        <v>170</v>
      </c>
      <c r="F25" s="122"/>
      <c r="G25" s="122" t="s">
        <v>170</v>
      </c>
      <c r="H25" s="122" t="s">
        <v>170</v>
      </c>
      <c r="I25" s="122"/>
      <c r="J25" s="122" t="s">
        <v>170</v>
      </c>
      <c r="K25" s="122" t="s">
        <v>170</v>
      </c>
      <c r="L25" s="122"/>
      <c r="M25" s="122" t="s">
        <v>170</v>
      </c>
      <c r="O25" s="271"/>
      <c r="P25" s="22" t="s">
        <v>180</v>
      </c>
      <c r="Q25" s="127">
        <f>(S24*Q26)/S26</f>
        <v>15.12</v>
      </c>
      <c r="R25" s="127">
        <f>(S24*R26)/S26</f>
        <v>2.88</v>
      </c>
      <c r="S25" s="128">
        <f>(S24*S26)/S26</f>
        <v>18</v>
      </c>
      <c r="U25" s="271"/>
      <c r="V25" s="22" t="s">
        <v>180</v>
      </c>
      <c r="W25" s="127">
        <f>(Y24*W26)/Y26</f>
        <v>15.12</v>
      </c>
      <c r="X25" s="127">
        <f>(Y24*X26)/Y26</f>
        <v>2.88</v>
      </c>
      <c r="Y25" s="128">
        <f>(Y24*Y26)/Y26</f>
        <v>18</v>
      </c>
    </row>
    <row r="26" spans="3:25" ht="12.75">
      <c r="C26" s="122">
        <v>21</v>
      </c>
      <c r="D26" s="122" t="s">
        <v>170</v>
      </c>
      <c r="E26" s="122" t="s">
        <v>170</v>
      </c>
      <c r="F26" s="122"/>
      <c r="G26" s="122" t="s">
        <v>170</v>
      </c>
      <c r="H26" s="122" t="s">
        <v>170</v>
      </c>
      <c r="I26" s="122"/>
      <c r="J26" s="122" t="s">
        <v>170</v>
      </c>
      <c r="K26" s="122" t="s">
        <v>170</v>
      </c>
      <c r="L26" s="122"/>
      <c r="M26" s="122" t="s">
        <v>170</v>
      </c>
      <c r="O26" s="271" t="s">
        <v>174</v>
      </c>
      <c r="P26" s="22" t="s">
        <v>181</v>
      </c>
      <c r="Q26" s="93">
        <f>SUM(Q22,Q24)</f>
        <v>84</v>
      </c>
      <c r="R26" s="93">
        <f>SUM(R22,R24)</f>
        <v>16</v>
      </c>
      <c r="S26" s="126">
        <f>SUM(S22,S24)</f>
        <v>100</v>
      </c>
      <c r="U26" s="271" t="s">
        <v>174</v>
      </c>
      <c r="V26" s="22" t="s">
        <v>181</v>
      </c>
      <c r="W26" s="93">
        <f>SUM(W22,W24)</f>
        <v>84</v>
      </c>
      <c r="X26" s="93">
        <f>SUM(X22,X24)</f>
        <v>16</v>
      </c>
      <c r="Y26" s="126">
        <f>SUM(Y22,Y24)</f>
        <v>100</v>
      </c>
    </row>
    <row r="27" spans="3:25" ht="13.5" thickBot="1">
      <c r="C27" s="122">
        <v>22</v>
      </c>
      <c r="D27" s="122" t="s">
        <v>170</v>
      </c>
      <c r="E27" s="122" t="s">
        <v>170</v>
      </c>
      <c r="F27" s="122"/>
      <c r="G27" s="122" t="s">
        <v>170</v>
      </c>
      <c r="H27" s="122" t="s">
        <v>170</v>
      </c>
      <c r="I27" s="122"/>
      <c r="J27" s="122" t="s">
        <v>170</v>
      </c>
      <c r="K27" s="122" t="s">
        <v>170</v>
      </c>
      <c r="L27" s="122"/>
      <c r="M27" s="122" t="s">
        <v>170</v>
      </c>
      <c r="O27" s="272"/>
      <c r="P27" s="129" t="s">
        <v>179</v>
      </c>
      <c r="Q27" s="130">
        <f>(Q26*S26)/S26</f>
        <v>84</v>
      </c>
      <c r="R27" s="130">
        <f>(R26*S26)/S26</f>
        <v>16</v>
      </c>
      <c r="S27" s="131">
        <f>(S26*S26)/S26</f>
        <v>100</v>
      </c>
      <c r="U27" s="272"/>
      <c r="V27" s="129" t="s">
        <v>179</v>
      </c>
      <c r="W27" s="130">
        <f>(W26*Y26)/Y26</f>
        <v>84</v>
      </c>
      <c r="X27" s="130">
        <f>(X26*Y26)/Y26</f>
        <v>16</v>
      </c>
      <c r="Y27" s="131">
        <f>(Y26*Y26)/Y26</f>
        <v>100</v>
      </c>
    </row>
    <row r="28" spans="3:13" ht="13.5" thickTop="1">
      <c r="C28" s="122">
        <v>23</v>
      </c>
      <c r="D28" s="122" t="s">
        <v>170</v>
      </c>
      <c r="E28" s="122" t="s">
        <v>170</v>
      </c>
      <c r="F28" s="122"/>
      <c r="G28" s="122" t="s">
        <v>170</v>
      </c>
      <c r="H28" s="122" t="s">
        <v>170</v>
      </c>
      <c r="I28" s="122"/>
      <c r="J28" s="122" t="s">
        <v>170</v>
      </c>
      <c r="K28" s="122" t="s">
        <v>170</v>
      </c>
      <c r="L28" s="122"/>
      <c r="M28" s="122" t="s">
        <v>170</v>
      </c>
    </row>
    <row r="29" spans="3:22" ht="15.75">
      <c r="C29" s="122">
        <v>24</v>
      </c>
      <c r="D29" s="122" t="s">
        <v>170</v>
      </c>
      <c r="E29" s="122" t="s">
        <v>170</v>
      </c>
      <c r="F29" s="122"/>
      <c r="G29" s="122" t="s">
        <v>170</v>
      </c>
      <c r="H29" s="122" t="s">
        <v>170</v>
      </c>
      <c r="I29" s="122"/>
      <c r="J29" s="122" t="s">
        <v>170</v>
      </c>
      <c r="K29" s="122" t="s">
        <v>170</v>
      </c>
      <c r="L29" s="122"/>
      <c r="M29" s="122" t="s">
        <v>170</v>
      </c>
      <c r="O29" s="89" t="s">
        <v>189</v>
      </c>
      <c r="P29" s="132">
        <f>(Q22+R24)/S26</f>
        <v>0.98</v>
      </c>
      <c r="U29" t="s">
        <v>190</v>
      </c>
      <c r="V29" s="89">
        <f>(W22+X24)/Y26</f>
        <v>0.98</v>
      </c>
    </row>
    <row r="30" spans="3:22" ht="15.75">
      <c r="C30" s="122">
        <v>25</v>
      </c>
      <c r="D30" s="122" t="s">
        <v>170</v>
      </c>
      <c r="E30" s="122" t="s">
        <v>170</v>
      </c>
      <c r="F30" s="122"/>
      <c r="G30" s="122" t="s">
        <v>173</v>
      </c>
      <c r="H30" s="122" t="s">
        <v>170</v>
      </c>
      <c r="I30" s="122"/>
      <c r="J30" s="122" t="s">
        <v>170</v>
      </c>
      <c r="K30" s="122" t="s">
        <v>170</v>
      </c>
      <c r="L30" s="122"/>
      <c r="M30" s="122" t="s">
        <v>170</v>
      </c>
      <c r="O30" s="89" t="s">
        <v>191</v>
      </c>
      <c r="P30" s="132">
        <f>(Q23+R25)/S27</f>
        <v>0.7175999999999999</v>
      </c>
      <c r="U30" t="s">
        <v>192</v>
      </c>
      <c r="V30" s="132">
        <f>(W23+X25)/Y27</f>
        <v>0.7175999999999999</v>
      </c>
    </row>
    <row r="31" spans="3:13" ht="13.5" thickBot="1">
      <c r="C31" s="122">
        <v>26</v>
      </c>
      <c r="D31" s="122" t="s">
        <v>170</v>
      </c>
      <c r="E31" s="122" t="s">
        <v>170</v>
      </c>
      <c r="F31" s="122"/>
      <c r="G31" s="122" t="s">
        <v>170</v>
      </c>
      <c r="H31" s="122" t="s">
        <v>170</v>
      </c>
      <c r="I31" s="122"/>
      <c r="J31" s="122" t="s">
        <v>170</v>
      </c>
      <c r="K31" s="122" t="s">
        <v>170</v>
      </c>
      <c r="L31" s="122"/>
      <c r="M31" s="122" t="s">
        <v>170</v>
      </c>
    </row>
    <row r="32" spans="3:25" ht="13.5" thickTop="1">
      <c r="C32" s="122">
        <v>27</v>
      </c>
      <c r="D32" s="122" t="s">
        <v>170</v>
      </c>
      <c r="E32" s="122" t="s">
        <v>170</v>
      </c>
      <c r="F32" s="122"/>
      <c r="G32" s="122" t="s">
        <v>170</v>
      </c>
      <c r="H32" s="122" t="s">
        <v>170</v>
      </c>
      <c r="I32" s="122"/>
      <c r="J32" s="122" t="s">
        <v>170</v>
      </c>
      <c r="K32" s="122" t="s">
        <v>170</v>
      </c>
      <c r="L32" s="122"/>
      <c r="M32" s="122" t="s">
        <v>170</v>
      </c>
      <c r="O32" s="266" t="s">
        <v>193</v>
      </c>
      <c r="P32" s="267"/>
      <c r="Q32" s="267"/>
      <c r="R32" s="267"/>
      <c r="S32" s="268"/>
      <c r="U32" s="266" t="s">
        <v>194</v>
      </c>
      <c r="V32" s="267"/>
      <c r="W32" s="267"/>
      <c r="X32" s="267"/>
      <c r="Y32" s="268"/>
    </row>
    <row r="33" spans="3:25" ht="12.75">
      <c r="C33" s="122">
        <v>28</v>
      </c>
      <c r="D33" s="122" t="s">
        <v>173</v>
      </c>
      <c r="E33" s="122" t="s">
        <v>170</v>
      </c>
      <c r="F33" s="122"/>
      <c r="G33" s="122" t="s">
        <v>170</v>
      </c>
      <c r="H33" s="122" t="s">
        <v>170</v>
      </c>
      <c r="I33" s="122"/>
      <c r="J33" s="122" t="s">
        <v>170</v>
      </c>
      <c r="K33" s="122" t="s">
        <v>170</v>
      </c>
      <c r="L33" s="122"/>
      <c r="M33" s="122" t="s">
        <v>170</v>
      </c>
      <c r="O33" s="123"/>
      <c r="P33" s="22"/>
      <c r="Q33" s="269" t="s">
        <v>188</v>
      </c>
      <c r="R33" s="269"/>
      <c r="S33" s="124" t="s">
        <v>174</v>
      </c>
      <c r="U33" s="123"/>
      <c r="V33" s="22"/>
      <c r="W33" s="93" t="s">
        <v>175</v>
      </c>
      <c r="X33" s="93"/>
      <c r="Y33" s="124" t="s">
        <v>174</v>
      </c>
    </row>
    <row r="34" spans="3:25" ht="12.75">
      <c r="C34" s="122">
        <v>29</v>
      </c>
      <c r="D34" s="122" t="s">
        <v>173</v>
      </c>
      <c r="E34" s="122" t="s">
        <v>170</v>
      </c>
      <c r="F34" s="122"/>
      <c r="G34" s="122" t="s">
        <v>170</v>
      </c>
      <c r="H34" s="122" t="s">
        <v>170</v>
      </c>
      <c r="I34" s="122"/>
      <c r="J34" s="122" t="s">
        <v>170</v>
      </c>
      <c r="K34" s="122" t="s">
        <v>170</v>
      </c>
      <c r="L34" s="122"/>
      <c r="M34" s="122" t="s">
        <v>170</v>
      </c>
      <c r="O34" s="123"/>
      <c r="P34" s="22"/>
      <c r="Q34" s="22" t="s">
        <v>177</v>
      </c>
      <c r="R34" s="22" t="s">
        <v>176</v>
      </c>
      <c r="S34" s="124"/>
      <c r="U34" s="123"/>
      <c r="V34" s="22"/>
      <c r="W34" s="22" t="s">
        <v>177</v>
      </c>
      <c r="X34" s="22" t="s">
        <v>176</v>
      </c>
      <c r="Y34" s="124"/>
    </row>
    <row r="35" spans="3:25" ht="12.75">
      <c r="C35" s="122">
        <v>30</v>
      </c>
      <c r="D35" s="122" t="s">
        <v>170</v>
      </c>
      <c r="E35" s="122" t="s">
        <v>170</v>
      </c>
      <c r="F35" s="122"/>
      <c r="G35" s="122" t="s">
        <v>170</v>
      </c>
      <c r="H35" s="122" t="s">
        <v>170</v>
      </c>
      <c r="I35" s="122"/>
      <c r="J35" s="122" t="s">
        <v>170</v>
      </c>
      <c r="K35" s="122" t="s">
        <v>170</v>
      </c>
      <c r="L35" s="122"/>
      <c r="M35" s="122" t="s">
        <v>170</v>
      </c>
      <c r="O35" s="125" t="s">
        <v>178</v>
      </c>
      <c r="P35" s="22" t="s">
        <v>177</v>
      </c>
      <c r="Q35" s="93">
        <v>77</v>
      </c>
      <c r="R35" s="93">
        <v>0</v>
      </c>
      <c r="S35" s="126">
        <f>SUM(Q35:R35)</f>
        <v>77</v>
      </c>
      <c r="U35" s="271" t="s">
        <v>188</v>
      </c>
      <c r="V35" s="22" t="s">
        <v>177</v>
      </c>
      <c r="W35" s="93">
        <v>84</v>
      </c>
      <c r="X35" s="93">
        <v>0</v>
      </c>
      <c r="Y35" s="126">
        <f>SUM(W35:X35)</f>
        <v>84</v>
      </c>
    </row>
    <row r="36" spans="3:25" ht="12.75">
      <c r="C36" s="122">
        <v>31</v>
      </c>
      <c r="D36" s="122" t="s">
        <v>170</v>
      </c>
      <c r="E36" s="122" t="s">
        <v>170</v>
      </c>
      <c r="F36" s="122"/>
      <c r="G36" s="122" t="s">
        <v>170</v>
      </c>
      <c r="H36" s="122" t="s">
        <v>170</v>
      </c>
      <c r="I36" s="122"/>
      <c r="J36" s="122" t="s">
        <v>170</v>
      </c>
      <c r="K36" s="122" t="s">
        <v>170</v>
      </c>
      <c r="L36" s="122"/>
      <c r="M36" s="122" t="s">
        <v>170</v>
      </c>
      <c r="O36" s="125"/>
      <c r="P36" s="22" t="s">
        <v>179</v>
      </c>
      <c r="Q36" s="127">
        <f>(S35*Q39)/S39</f>
        <v>64.68</v>
      </c>
      <c r="R36" s="127">
        <f>(S35*R39)/S39</f>
        <v>12.32</v>
      </c>
      <c r="S36" s="128">
        <f>(S35*S39)/S39</f>
        <v>77</v>
      </c>
      <c r="U36" s="271"/>
      <c r="V36" s="22" t="s">
        <v>179</v>
      </c>
      <c r="W36" s="127">
        <f>(Y35*W39)/Y39</f>
        <v>70.56</v>
      </c>
      <c r="X36" s="127">
        <f>(Y35*X39)/Y39</f>
        <v>13.44</v>
      </c>
      <c r="Y36" s="128">
        <f>(Y35*Y39)/Y39</f>
        <v>84</v>
      </c>
    </row>
    <row r="37" spans="3:25" ht="12.75">
      <c r="C37" s="122">
        <v>32</v>
      </c>
      <c r="D37" s="122" t="s">
        <v>173</v>
      </c>
      <c r="E37" s="122" t="s">
        <v>173</v>
      </c>
      <c r="F37" s="122"/>
      <c r="G37" s="122" t="s">
        <v>173</v>
      </c>
      <c r="H37" s="122" t="s">
        <v>173</v>
      </c>
      <c r="I37" s="122"/>
      <c r="J37" s="122" t="s">
        <v>173</v>
      </c>
      <c r="K37" s="122" t="s">
        <v>173</v>
      </c>
      <c r="L37" s="122"/>
      <c r="M37" s="122" t="s">
        <v>173</v>
      </c>
      <c r="O37" s="125"/>
      <c r="P37" s="22" t="s">
        <v>176</v>
      </c>
      <c r="Q37" s="93">
        <v>7</v>
      </c>
      <c r="R37" s="93">
        <v>16</v>
      </c>
      <c r="S37" s="126">
        <f>SUM(Q37:R37)</f>
        <v>23</v>
      </c>
      <c r="U37" s="271"/>
      <c r="V37" s="22" t="s">
        <v>176</v>
      </c>
      <c r="W37" s="93">
        <v>0</v>
      </c>
      <c r="X37" s="93">
        <v>16</v>
      </c>
      <c r="Y37" s="126">
        <f>SUM(W37:X37)</f>
        <v>16</v>
      </c>
    </row>
    <row r="38" spans="3:25" ht="12.75">
      <c r="C38" s="122">
        <v>33</v>
      </c>
      <c r="D38" s="122" t="s">
        <v>170</v>
      </c>
      <c r="E38" s="122" t="s">
        <v>170</v>
      </c>
      <c r="F38" s="122"/>
      <c r="G38" s="122" t="s">
        <v>170</v>
      </c>
      <c r="H38" s="122" t="s">
        <v>170</v>
      </c>
      <c r="I38" s="122"/>
      <c r="J38" s="122" t="s">
        <v>170</v>
      </c>
      <c r="K38" s="122" t="s">
        <v>170</v>
      </c>
      <c r="L38" s="122"/>
      <c r="M38" s="122" t="s">
        <v>170</v>
      </c>
      <c r="O38" s="125"/>
      <c r="P38" s="22" t="s">
        <v>180</v>
      </c>
      <c r="Q38" s="127">
        <f>(S37*Q39)/S39</f>
        <v>19.32</v>
      </c>
      <c r="R38" s="127">
        <f>(S37*R39)/S39</f>
        <v>3.68</v>
      </c>
      <c r="S38" s="128">
        <f>(S37*S39)/S39</f>
        <v>23</v>
      </c>
      <c r="U38" s="271"/>
      <c r="V38" s="22" t="s">
        <v>180</v>
      </c>
      <c r="W38" s="127">
        <f>(Y37*W39)/Y39</f>
        <v>13.44</v>
      </c>
      <c r="X38" s="127">
        <f>(Y37*X39)/Y39</f>
        <v>2.56</v>
      </c>
      <c r="Y38" s="128">
        <f>(Y37*Y39)/Y39</f>
        <v>16</v>
      </c>
    </row>
    <row r="39" spans="3:25" ht="12.75">
      <c r="C39" s="122">
        <v>34</v>
      </c>
      <c r="D39" s="122" t="s">
        <v>170</v>
      </c>
      <c r="E39" s="122" t="s">
        <v>170</v>
      </c>
      <c r="F39" s="122"/>
      <c r="G39" s="122" t="s">
        <v>170</v>
      </c>
      <c r="H39" s="122" t="s">
        <v>170</v>
      </c>
      <c r="I39" s="122"/>
      <c r="J39" s="122" t="s">
        <v>170</v>
      </c>
      <c r="K39" s="122" t="s">
        <v>170</v>
      </c>
      <c r="L39" s="122"/>
      <c r="M39" s="122" t="s">
        <v>170</v>
      </c>
      <c r="O39" s="271" t="s">
        <v>174</v>
      </c>
      <c r="P39" s="22" t="s">
        <v>181</v>
      </c>
      <c r="Q39" s="93">
        <f>SUM(Q35,Q37)</f>
        <v>84</v>
      </c>
      <c r="R39" s="93">
        <f>SUM(R35,R37)</f>
        <v>16</v>
      </c>
      <c r="S39" s="126">
        <f>SUM(S35,S37)</f>
        <v>100</v>
      </c>
      <c r="U39" s="271" t="s">
        <v>174</v>
      </c>
      <c r="V39" s="22" t="s">
        <v>181</v>
      </c>
      <c r="W39" s="93">
        <f>SUM(W35,W37)</f>
        <v>84</v>
      </c>
      <c r="X39" s="93">
        <f>SUM(X35,X37)</f>
        <v>16</v>
      </c>
      <c r="Y39" s="126">
        <f>SUM(Y35,Y37)</f>
        <v>100</v>
      </c>
    </row>
    <row r="40" spans="3:25" ht="13.5" thickBot="1">
      <c r="C40" s="122">
        <v>35</v>
      </c>
      <c r="D40" s="122" t="s">
        <v>170</v>
      </c>
      <c r="E40" s="122" t="s">
        <v>170</v>
      </c>
      <c r="F40" s="122"/>
      <c r="G40" s="122" t="s">
        <v>170</v>
      </c>
      <c r="H40" s="122" t="s">
        <v>170</v>
      </c>
      <c r="I40" s="122"/>
      <c r="J40" s="122" t="s">
        <v>170</v>
      </c>
      <c r="K40" s="122" t="s">
        <v>170</v>
      </c>
      <c r="L40" s="122"/>
      <c r="M40" s="122" t="s">
        <v>170</v>
      </c>
      <c r="O40" s="272"/>
      <c r="P40" s="129" t="s">
        <v>179</v>
      </c>
      <c r="Q40" s="130">
        <f>(Q39*S39)/S39</f>
        <v>84</v>
      </c>
      <c r="R40" s="130">
        <f>(R39*S39)/S39</f>
        <v>16</v>
      </c>
      <c r="S40" s="131">
        <f>(S39*S39)/S39</f>
        <v>100</v>
      </c>
      <c r="U40" s="272"/>
      <c r="V40" s="129" t="s">
        <v>179</v>
      </c>
      <c r="W40" s="130">
        <f>(W39*Y39)/Y39</f>
        <v>84</v>
      </c>
      <c r="X40" s="130">
        <f>(X39*Y39)/Y39</f>
        <v>16</v>
      </c>
      <c r="Y40" s="131">
        <f>(Y39*Y39)/Y39</f>
        <v>100</v>
      </c>
    </row>
    <row r="41" spans="3:13" ht="13.5" thickTop="1">
      <c r="C41" s="122">
        <v>36</v>
      </c>
      <c r="D41" s="122" t="s">
        <v>170</v>
      </c>
      <c r="E41" s="122" t="s">
        <v>170</v>
      </c>
      <c r="F41" s="122"/>
      <c r="G41" s="122" t="s">
        <v>170</v>
      </c>
      <c r="H41" s="122" t="s">
        <v>170</v>
      </c>
      <c r="I41" s="122"/>
      <c r="J41" s="122" t="s">
        <v>170</v>
      </c>
      <c r="K41" s="122" t="s">
        <v>170</v>
      </c>
      <c r="L41" s="122"/>
      <c r="M41" s="122" t="s">
        <v>170</v>
      </c>
    </row>
    <row r="42" spans="3:22" ht="15.75">
      <c r="C42" s="122">
        <v>37</v>
      </c>
      <c r="D42" s="122" t="s">
        <v>173</v>
      </c>
      <c r="E42" s="122" t="s">
        <v>173</v>
      </c>
      <c r="F42" s="122"/>
      <c r="G42" s="122" t="s">
        <v>173</v>
      </c>
      <c r="H42" s="122" t="s">
        <v>173</v>
      </c>
      <c r="I42" s="122"/>
      <c r="J42" s="122" t="s">
        <v>173</v>
      </c>
      <c r="K42" s="122" t="s">
        <v>173</v>
      </c>
      <c r="L42" s="122"/>
      <c r="M42" s="122" t="s">
        <v>173</v>
      </c>
      <c r="O42" s="89" t="s">
        <v>195</v>
      </c>
      <c r="P42" s="132">
        <f>(Q35+R37)/S39</f>
        <v>0.93</v>
      </c>
      <c r="U42" t="s">
        <v>196</v>
      </c>
      <c r="V42" s="89">
        <f>(W35+X37)/Y39</f>
        <v>1</v>
      </c>
    </row>
    <row r="43" spans="3:22" ht="15.75">
      <c r="C43" s="122">
        <v>38</v>
      </c>
      <c r="D43" s="122" t="s">
        <v>173</v>
      </c>
      <c r="E43" s="122" t="s">
        <v>173</v>
      </c>
      <c r="F43" s="122"/>
      <c r="G43" s="122" t="s">
        <v>173</v>
      </c>
      <c r="H43" s="122" t="s">
        <v>173</v>
      </c>
      <c r="I43" s="122"/>
      <c r="J43" s="122" t="s">
        <v>173</v>
      </c>
      <c r="K43" s="122" t="s">
        <v>173</v>
      </c>
      <c r="L43" s="122"/>
      <c r="M43" s="122" t="s">
        <v>173</v>
      </c>
      <c r="O43" s="89" t="s">
        <v>197</v>
      </c>
      <c r="P43" s="132">
        <f>(Q36+R38)/S40</f>
        <v>0.6836000000000001</v>
      </c>
      <c r="U43" t="s">
        <v>198</v>
      </c>
      <c r="V43" s="132">
        <f>(W36+X38)/Y40</f>
        <v>0.7312000000000001</v>
      </c>
    </row>
    <row r="44" spans="3:13" ht="12.75">
      <c r="C44" s="122">
        <v>39</v>
      </c>
      <c r="D44" s="122" t="s">
        <v>173</v>
      </c>
      <c r="E44" s="122" t="s">
        <v>173</v>
      </c>
      <c r="F44" s="122"/>
      <c r="G44" s="122" t="s">
        <v>170</v>
      </c>
      <c r="H44" s="122" t="s">
        <v>170</v>
      </c>
      <c r="I44" s="122"/>
      <c r="J44" s="122" t="s">
        <v>170</v>
      </c>
      <c r="K44" s="122" t="s">
        <v>170</v>
      </c>
      <c r="L44" s="122"/>
      <c r="M44" s="122" t="s">
        <v>170</v>
      </c>
    </row>
    <row r="45" spans="3:25" ht="15.75">
      <c r="C45" s="122">
        <v>40</v>
      </c>
      <c r="D45" s="122" t="s">
        <v>173</v>
      </c>
      <c r="E45" s="122" t="s">
        <v>170</v>
      </c>
      <c r="F45" s="122"/>
      <c r="G45" s="122" t="s">
        <v>173</v>
      </c>
      <c r="H45" s="122" t="s">
        <v>170</v>
      </c>
      <c r="I45" s="122"/>
      <c r="J45" s="122" t="s">
        <v>170</v>
      </c>
      <c r="K45" s="122" t="s">
        <v>170</v>
      </c>
      <c r="L45" s="122"/>
      <c r="M45" s="122" t="s">
        <v>170</v>
      </c>
      <c r="O45" s="226" t="s">
        <v>199</v>
      </c>
      <c r="P45" s="226"/>
      <c r="Q45" s="226"/>
      <c r="R45" s="226"/>
      <c r="S45" s="226"/>
      <c r="T45" s="226"/>
      <c r="U45" s="226"/>
      <c r="V45" s="226"/>
      <c r="W45" s="226"/>
      <c r="X45" s="226"/>
      <c r="Y45" s="226"/>
    </row>
    <row r="46" spans="3:13" ht="13.5" thickBot="1">
      <c r="C46" s="122">
        <v>41</v>
      </c>
      <c r="D46" s="122" t="s">
        <v>170</v>
      </c>
      <c r="E46" s="122" t="s">
        <v>173</v>
      </c>
      <c r="F46" s="122"/>
      <c r="G46" s="122" t="s">
        <v>170</v>
      </c>
      <c r="H46" s="122" t="s">
        <v>170</v>
      </c>
      <c r="I46" s="122"/>
      <c r="J46" s="122" t="s">
        <v>170</v>
      </c>
      <c r="K46" s="122" t="s">
        <v>170</v>
      </c>
      <c r="L46" s="122"/>
      <c r="M46" s="122" t="s">
        <v>170</v>
      </c>
    </row>
    <row r="47" spans="3:25" ht="13.5" thickBot="1">
      <c r="C47" s="122">
        <v>42</v>
      </c>
      <c r="D47" s="122" t="s">
        <v>170</v>
      </c>
      <c r="E47" s="122" t="s">
        <v>170</v>
      </c>
      <c r="F47" s="122"/>
      <c r="G47" s="122" t="s">
        <v>170</v>
      </c>
      <c r="H47" s="122" t="s">
        <v>170</v>
      </c>
      <c r="I47" s="122"/>
      <c r="J47" s="122" t="s">
        <v>170</v>
      </c>
      <c r="K47" s="122" t="s">
        <v>170</v>
      </c>
      <c r="L47" s="122"/>
      <c r="M47" s="122" t="s">
        <v>170</v>
      </c>
      <c r="P47" s="274" t="s">
        <v>200</v>
      </c>
      <c r="Q47" s="275"/>
      <c r="R47" s="275"/>
      <c r="S47" s="276"/>
      <c r="U47" s="133" t="s">
        <v>201</v>
      </c>
      <c r="V47" s="134"/>
      <c r="W47" s="134"/>
      <c r="X47" s="134"/>
      <c r="Y47" s="135"/>
    </row>
    <row r="48" spans="3:19" ht="13.5" thickBot="1">
      <c r="C48" s="122">
        <v>43</v>
      </c>
      <c r="D48" s="122" t="s">
        <v>170</v>
      </c>
      <c r="E48" s="122" t="s">
        <v>170</v>
      </c>
      <c r="F48" s="122"/>
      <c r="G48" s="122" t="s">
        <v>170</v>
      </c>
      <c r="H48" s="122" t="s">
        <v>170</v>
      </c>
      <c r="I48" s="122"/>
      <c r="J48" s="122" t="s">
        <v>170</v>
      </c>
      <c r="K48" s="122" t="s">
        <v>170</v>
      </c>
      <c r="L48" s="122"/>
      <c r="M48" s="122" t="s">
        <v>170</v>
      </c>
      <c r="P48" s="136"/>
      <c r="Q48" s="137"/>
      <c r="R48" s="137"/>
      <c r="S48" s="138"/>
    </row>
    <row r="49" spans="3:25" ht="12.75">
      <c r="C49" s="122">
        <v>44</v>
      </c>
      <c r="D49" s="122" t="s">
        <v>170</v>
      </c>
      <c r="E49" s="122" t="s">
        <v>170</v>
      </c>
      <c r="F49" s="122"/>
      <c r="G49" s="122" t="s">
        <v>170</v>
      </c>
      <c r="H49" s="122" t="s">
        <v>170</v>
      </c>
      <c r="I49" s="122"/>
      <c r="J49" s="122" t="s">
        <v>170</v>
      </c>
      <c r="K49" s="122" t="s">
        <v>170</v>
      </c>
      <c r="L49" s="122"/>
      <c r="M49" s="122" t="s">
        <v>170</v>
      </c>
      <c r="P49" s="139" t="s">
        <v>202</v>
      </c>
      <c r="Q49" s="140" t="s">
        <v>178</v>
      </c>
      <c r="R49" s="140" t="s">
        <v>173</v>
      </c>
      <c r="S49" s="141" t="s">
        <v>188</v>
      </c>
      <c r="V49" s="142" t="s">
        <v>202</v>
      </c>
      <c r="W49" s="143" t="s">
        <v>178</v>
      </c>
      <c r="X49" s="143" t="s">
        <v>173</v>
      </c>
      <c r="Y49" s="144" t="s">
        <v>188</v>
      </c>
    </row>
    <row r="50" spans="3:25" ht="13.5" thickBot="1">
      <c r="C50" s="122">
        <v>45</v>
      </c>
      <c r="D50" s="122" t="s">
        <v>173</v>
      </c>
      <c r="E50" s="122" t="s">
        <v>173</v>
      </c>
      <c r="F50" s="122"/>
      <c r="G50" s="122" t="s">
        <v>173</v>
      </c>
      <c r="H50" s="122" t="s">
        <v>173</v>
      </c>
      <c r="I50" s="122"/>
      <c r="J50" s="122" t="s">
        <v>173</v>
      </c>
      <c r="K50" s="122" t="s">
        <v>173</v>
      </c>
      <c r="L50" s="122"/>
      <c r="M50" s="122" t="s">
        <v>173</v>
      </c>
      <c r="P50" s="145" t="s">
        <v>178</v>
      </c>
      <c r="Q50" s="93" t="s">
        <v>203</v>
      </c>
      <c r="R50" s="146">
        <f>(P16-P17)/(1-P17)</f>
        <v>0.7513983840894968</v>
      </c>
      <c r="S50" s="147">
        <f>(P42-P43)/(1-P43)</f>
        <v>0.7787610619469028</v>
      </c>
      <c r="V50" s="148" t="s">
        <v>175</v>
      </c>
      <c r="W50" s="149">
        <f>(V16-V17)/(1-V17)</f>
        <v>0.7787610619469028</v>
      </c>
      <c r="X50" s="149">
        <f>(V29-V30)/(1-V30)</f>
        <v>0.9291784702549575</v>
      </c>
      <c r="Y50" s="150">
        <f>(V42-V43)/(1-V43)</f>
        <v>1</v>
      </c>
    </row>
    <row r="51" spans="3:19" ht="12.75">
      <c r="C51" s="122">
        <v>46</v>
      </c>
      <c r="D51" s="122" t="s">
        <v>170</v>
      </c>
      <c r="E51" s="122" t="s">
        <v>170</v>
      </c>
      <c r="F51" s="122"/>
      <c r="G51" s="122" t="s">
        <v>170</v>
      </c>
      <c r="H51" s="122" t="s">
        <v>170</v>
      </c>
      <c r="I51" s="122"/>
      <c r="J51" s="122" t="s">
        <v>170</v>
      </c>
      <c r="K51" s="122" t="s">
        <v>170</v>
      </c>
      <c r="L51" s="122"/>
      <c r="M51" s="122" t="s">
        <v>170</v>
      </c>
      <c r="P51" s="145" t="s">
        <v>173</v>
      </c>
      <c r="Q51" s="146">
        <f>(P16-P17)/(1-P17)</f>
        <v>0.7513983840894968</v>
      </c>
      <c r="R51" s="93" t="s">
        <v>203</v>
      </c>
      <c r="S51" s="147">
        <f>(P29-P30)/(1-P30)</f>
        <v>0.9291784702549575</v>
      </c>
    </row>
    <row r="52" spans="3:19" ht="13.5" thickBot="1">
      <c r="C52" s="122">
        <v>47</v>
      </c>
      <c r="D52" s="122" t="s">
        <v>170</v>
      </c>
      <c r="E52" s="122" t="s">
        <v>170</v>
      </c>
      <c r="F52" s="122"/>
      <c r="G52" s="122" t="s">
        <v>170</v>
      </c>
      <c r="H52" s="122" t="s">
        <v>170</v>
      </c>
      <c r="I52" s="122"/>
      <c r="J52" s="122" t="s">
        <v>170</v>
      </c>
      <c r="K52" s="122" t="s">
        <v>170</v>
      </c>
      <c r="L52" s="122"/>
      <c r="M52" s="122" t="s">
        <v>170</v>
      </c>
      <c r="P52" s="148" t="s">
        <v>188</v>
      </c>
      <c r="Q52" s="149">
        <f>(P42-P43)/(1-P43)</f>
        <v>0.7787610619469028</v>
      </c>
      <c r="R52" s="149">
        <f>(P29-P30)/(1-P30)</f>
        <v>0.9291784702549575</v>
      </c>
      <c r="S52" s="151" t="s">
        <v>203</v>
      </c>
    </row>
    <row r="53" spans="3:13" ht="12.75">
      <c r="C53" s="122">
        <v>48</v>
      </c>
      <c r="D53" s="122" t="s">
        <v>173</v>
      </c>
      <c r="E53" s="122" t="s">
        <v>173</v>
      </c>
      <c r="F53" s="122"/>
      <c r="G53" s="122" t="s">
        <v>173</v>
      </c>
      <c r="H53" s="122" t="s">
        <v>173</v>
      </c>
      <c r="I53" s="122"/>
      <c r="J53" s="122" t="s">
        <v>173</v>
      </c>
      <c r="K53" s="122" t="s">
        <v>173</v>
      </c>
      <c r="L53" s="122"/>
      <c r="M53" s="122" t="s">
        <v>173</v>
      </c>
    </row>
    <row r="54" spans="3:13" ht="12.75">
      <c r="C54" s="122">
        <v>49</v>
      </c>
      <c r="D54" s="122" t="s">
        <v>170</v>
      </c>
      <c r="E54" s="122" t="s">
        <v>170</v>
      </c>
      <c r="F54" s="122"/>
      <c r="G54" s="122" t="s">
        <v>170</v>
      </c>
      <c r="H54" s="122" t="s">
        <v>170</v>
      </c>
      <c r="I54" s="122"/>
      <c r="J54" s="122" t="s">
        <v>170</v>
      </c>
      <c r="K54" s="122" t="s">
        <v>170</v>
      </c>
      <c r="L54" s="122"/>
      <c r="M54" s="122" t="s">
        <v>170</v>
      </c>
    </row>
    <row r="55" spans="3:13" ht="12.75">
      <c r="C55" s="122">
        <v>50</v>
      </c>
      <c r="D55" s="122" t="s">
        <v>170</v>
      </c>
      <c r="E55" s="122" t="s">
        <v>170</v>
      </c>
      <c r="F55" s="122"/>
      <c r="G55" s="122" t="s">
        <v>170</v>
      </c>
      <c r="H55" s="122" t="s">
        <v>170</v>
      </c>
      <c r="I55" s="122"/>
      <c r="J55" s="122" t="s">
        <v>170</v>
      </c>
      <c r="K55" s="122" t="s">
        <v>170</v>
      </c>
      <c r="L55" s="122"/>
      <c r="M55" s="122" t="s">
        <v>170</v>
      </c>
    </row>
    <row r="56" spans="15:25" ht="12.75">
      <c r="O56" s="273" t="s">
        <v>204</v>
      </c>
      <c r="P56" s="273"/>
      <c r="Q56" s="273"/>
      <c r="R56" s="273"/>
      <c r="S56" s="273"/>
      <c r="T56" s="273"/>
      <c r="U56" s="273"/>
      <c r="V56" s="273"/>
      <c r="W56" s="273"/>
      <c r="X56" s="273"/>
      <c r="Y56" s="273"/>
    </row>
    <row r="57" spans="3:25" ht="12.75">
      <c r="C57" s="93" t="s">
        <v>205</v>
      </c>
      <c r="D57" s="22" t="s">
        <v>206</v>
      </c>
      <c r="O57" s="273"/>
      <c r="P57" s="273"/>
      <c r="Q57" s="273"/>
      <c r="R57" s="273"/>
      <c r="S57" s="273"/>
      <c r="T57" s="273"/>
      <c r="U57" s="273"/>
      <c r="V57" s="273"/>
      <c r="W57" s="273"/>
      <c r="X57" s="273"/>
      <c r="Y57" s="273"/>
    </row>
    <row r="58" spans="3:25" ht="12.75">
      <c r="C58" s="22"/>
      <c r="D58" s="22" t="s">
        <v>207</v>
      </c>
      <c r="O58" s="273"/>
      <c r="P58" s="273"/>
      <c r="Q58" s="273"/>
      <c r="R58" s="273"/>
      <c r="S58" s="273"/>
      <c r="T58" s="273"/>
      <c r="U58" s="273"/>
      <c r="V58" s="273"/>
      <c r="W58" s="273"/>
      <c r="X58" s="273"/>
      <c r="Y58" s="273"/>
    </row>
    <row r="59" spans="15:25" ht="12.75">
      <c r="O59" s="273"/>
      <c r="P59" s="273"/>
      <c r="Q59" s="273"/>
      <c r="R59" s="273"/>
      <c r="S59" s="273"/>
      <c r="T59" s="273"/>
      <c r="U59" s="273"/>
      <c r="V59" s="273"/>
      <c r="W59" s="273"/>
      <c r="X59" s="273"/>
      <c r="Y59" s="273"/>
    </row>
    <row r="60" ht="12.75" customHeight="1"/>
  </sheetData>
  <sheetProtection password="CF48" sheet="1" objects="1" scenarios="1"/>
  <mergeCells count="29">
    <mergeCell ref="O56:Y59"/>
    <mergeCell ref="O39:O40"/>
    <mergeCell ref="U39:U40"/>
    <mergeCell ref="O45:Y45"/>
    <mergeCell ref="P47:S47"/>
    <mergeCell ref="O32:S32"/>
    <mergeCell ref="U32:Y32"/>
    <mergeCell ref="Q33:R33"/>
    <mergeCell ref="U35:U38"/>
    <mergeCell ref="O22:O25"/>
    <mergeCell ref="U22:U25"/>
    <mergeCell ref="O26:O27"/>
    <mergeCell ref="U26:U27"/>
    <mergeCell ref="O19:S19"/>
    <mergeCell ref="U19:Y19"/>
    <mergeCell ref="Q20:R20"/>
    <mergeCell ref="S20:S21"/>
    <mergeCell ref="W20:X20"/>
    <mergeCell ref="Y20:Y21"/>
    <mergeCell ref="O9:O12"/>
    <mergeCell ref="U9:U12"/>
    <mergeCell ref="O13:O14"/>
    <mergeCell ref="U13:U14"/>
    <mergeCell ref="O6:S6"/>
    <mergeCell ref="U6:Y6"/>
    <mergeCell ref="Q7:R7"/>
    <mergeCell ref="S7:S8"/>
    <mergeCell ref="W7:X7"/>
    <mergeCell ref="Y7:Y8"/>
  </mergeCells>
  <printOptions/>
  <pageMargins left="0.75" right="0.75" top="0.5" bottom="0.25" header="0.5" footer="0.5"/>
  <pageSetup horizontalDpi="600" verticalDpi="600" orientation="portrait" scale="90" r:id="rId1"/>
  <headerFooter alignWithMargins="0">
    <oddFooter>&amp;LForm 827  Rev. A  08-Jul-03</oddFooter>
  </headerFooter>
  <colBreaks count="1" manualBreakCount="1">
    <brk id="14" max="65535" man="1"/>
  </colBreaks>
</worksheet>
</file>

<file path=xl/worksheets/sheet2.xml><?xml version="1.0" encoding="utf-8"?>
<worksheet xmlns="http://schemas.openxmlformats.org/spreadsheetml/2006/main" xmlns:r="http://schemas.openxmlformats.org/officeDocument/2006/relationships">
  <dimension ref="A1:P55"/>
  <sheetViews>
    <sheetView zoomScale="80" zoomScaleNormal="80" workbookViewId="0" topLeftCell="A1">
      <selection activeCell="B38" sqref="B38"/>
    </sheetView>
  </sheetViews>
  <sheetFormatPr defaultColWidth="9.140625" defaultRowHeight="12.75"/>
  <cols>
    <col min="1" max="1" width="23.7109375" style="0" customWidth="1"/>
    <col min="2" max="2" width="10.421875" style="0" customWidth="1"/>
    <col min="3" max="3" width="9.57421875" style="0" customWidth="1"/>
    <col min="4" max="13" width="9.7109375" style="0" customWidth="1"/>
    <col min="15" max="15" width="13.140625" style="0" customWidth="1"/>
    <col min="16" max="16" width="5.57421875" style="0" customWidth="1"/>
  </cols>
  <sheetData>
    <row r="1" spans="1:16" ht="27.75">
      <c r="A1" s="227" t="s">
        <v>220</v>
      </c>
      <c r="B1" s="227"/>
      <c r="C1" s="227"/>
      <c r="D1" s="227"/>
      <c r="E1" s="227"/>
      <c r="F1" s="227"/>
      <c r="G1" s="227"/>
      <c r="H1" s="227"/>
      <c r="I1" s="227"/>
      <c r="J1" s="227"/>
      <c r="K1" s="227"/>
      <c r="L1" s="227"/>
      <c r="M1" s="227"/>
      <c r="N1" s="227"/>
      <c r="O1" s="227"/>
      <c r="P1" s="227"/>
    </row>
    <row r="2" spans="1:16" ht="15">
      <c r="A2" s="1"/>
      <c r="B2" s="1"/>
      <c r="C2" s="1"/>
      <c r="D2" s="1"/>
      <c r="E2" s="1"/>
      <c r="F2" s="1"/>
      <c r="G2" s="1"/>
      <c r="H2" s="1"/>
      <c r="I2" s="1"/>
      <c r="J2" s="1"/>
      <c r="K2" s="1"/>
      <c r="L2" s="1"/>
      <c r="M2" s="1"/>
      <c r="N2" s="1"/>
      <c r="O2" s="1"/>
      <c r="P2" s="2"/>
    </row>
    <row r="3" spans="1:16" ht="15">
      <c r="A3" s="3" t="s">
        <v>25</v>
      </c>
      <c r="B3" s="228" t="s">
        <v>223</v>
      </c>
      <c r="C3" s="228"/>
      <c r="D3" s="228"/>
      <c r="E3" s="4"/>
      <c r="F3" s="3" t="s">
        <v>27</v>
      </c>
      <c r="G3" s="4"/>
      <c r="H3" s="228" t="s">
        <v>216</v>
      </c>
      <c r="I3" s="228"/>
      <c r="J3" s="228"/>
      <c r="K3" s="4"/>
      <c r="L3" s="3" t="s">
        <v>30</v>
      </c>
      <c r="M3" s="4"/>
      <c r="N3" s="221" t="s">
        <v>221</v>
      </c>
      <c r="O3" s="222"/>
      <c r="P3" s="6"/>
    </row>
    <row r="4" spans="1:16" ht="15">
      <c r="A4" s="3" t="s">
        <v>26</v>
      </c>
      <c r="B4" s="225" t="s">
        <v>217</v>
      </c>
      <c r="C4" s="225"/>
      <c r="D4" s="225"/>
      <c r="E4" s="4"/>
      <c r="F4" s="3" t="s">
        <v>28</v>
      </c>
      <c r="G4" s="4"/>
      <c r="H4" s="225" t="s">
        <v>222</v>
      </c>
      <c r="I4" s="229"/>
      <c r="J4" s="229"/>
      <c r="K4" s="4"/>
      <c r="L4" s="3" t="s">
        <v>31</v>
      </c>
      <c r="M4" s="4"/>
      <c r="N4" s="223" t="s">
        <v>221</v>
      </c>
      <c r="O4" s="223"/>
      <c r="P4" s="7"/>
    </row>
    <row r="5" spans="1:16" ht="15">
      <c r="A5" s="3" t="s">
        <v>100</v>
      </c>
      <c r="B5" s="223">
        <v>0.314</v>
      </c>
      <c r="C5" s="223"/>
      <c r="D5" s="223"/>
      <c r="E5" s="4"/>
      <c r="F5" s="3" t="s">
        <v>29</v>
      </c>
      <c r="G5" s="4"/>
      <c r="H5" s="225" t="s">
        <v>218</v>
      </c>
      <c r="I5" s="225"/>
      <c r="J5" s="225"/>
      <c r="K5" s="4"/>
      <c r="L5" s="8"/>
      <c r="M5" s="9"/>
      <c r="N5" s="224"/>
      <c r="O5" s="224"/>
      <c r="P5" s="7"/>
    </row>
    <row r="6" spans="1:4" ht="15">
      <c r="A6" s="3" t="s">
        <v>101</v>
      </c>
      <c r="B6" s="220">
        <v>0.308</v>
      </c>
      <c r="C6" s="220"/>
      <c r="D6" s="220"/>
    </row>
    <row r="9" spans="3:12" ht="30" customHeight="1">
      <c r="C9" s="88" t="s">
        <v>0</v>
      </c>
      <c r="D9" s="88"/>
      <c r="E9" s="88"/>
      <c r="F9" s="88"/>
      <c r="G9" s="88"/>
      <c r="H9" s="88"/>
      <c r="I9" s="88"/>
      <c r="J9" s="88"/>
      <c r="K9" s="88"/>
      <c r="L9" s="88"/>
    </row>
    <row r="10" spans="1:12" ht="13.5" customHeight="1">
      <c r="A10" s="86" t="s">
        <v>212</v>
      </c>
      <c r="B10" s="87"/>
      <c r="C10" s="187">
        <v>1</v>
      </c>
      <c r="D10" s="187">
        <v>2</v>
      </c>
      <c r="E10" s="187">
        <v>3</v>
      </c>
      <c r="F10" s="187">
        <v>4</v>
      </c>
      <c r="G10" s="187">
        <v>5</v>
      </c>
      <c r="H10" s="187">
        <v>6</v>
      </c>
      <c r="I10" s="187">
        <v>7</v>
      </c>
      <c r="J10" s="187">
        <v>8</v>
      </c>
      <c r="K10" s="187">
        <v>9</v>
      </c>
      <c r="L10" s="187">
        <v>10</v>
      </c>
    </row>
    <row r="11" spans="1:12" ht="12.75">
      <c r="A11" s="185" t="s">
        <v>213</v>
      </c>
      <c r="B11" t="s">
        <v>2</v>
      </c>
      <c r="C11" s="186">
        <v>0.3097</v>
      </c>
      <c r="D11" s="186">
        <v>0.3078</v>
      </c>
      <c r="E11" s="186">
        <v>0.3076</v>
      </c>
      <c r="F11" s="186">
        <v>0.3087</v>
      </c>
      <c r="G11" s="186">
        <v>0.3074</v>
      </c>
      <c r="H11" s="186">
        <v>0.3074</v>
      </c>
      <c r="I11" s="186">
        <v>0.3079</v>
      </c>
      <c r="J11" s="186">
        <v>0.3084</v>
      </c>
      <c r="K11" s="186">
        <v>0.3069</v>
      </c>
      <c r="L11" s="186">
        <v>0.3077</v>
      </c>
    </row>
    <row r="12" spans="1:12" ht="12.75">
      <c r="A12" s="194" t="s">
        <v>224</v>
      </c>
      <c r="B12" t="s">
        <v>102</v>
      </c>
      <c r="C12" s="186">
        <v>0.3096</v>
      </c>
      <c r="D12" s="186">
        <v>0.3076</v>
      </c>
      <c r="E12" s="186">
        <v>0.3076</v>
      </c>
      <c r="F12" s="186">
        <v>0.3087</v>
      </c>
      <c r="G12" s="186">
        <v>0.3088</v>
      </c>
      <c r="H12" s="186">
        <v>0.3086</v>
      </c>
      <c r="I12" s="186">
        <v>0.3094</v>
      </c>
      <c r="J12" s="186">
        <v>0.3085</v>
      </c>
      <c r="K12" s="186">
        <v>0.3088</v>
      </c>
      <c r="L12" s="186">
        <v>0.3063</v>
      </c>
    </row>
    <row r="13" spans="1:12" ht="12.75">
      <c r="A13" s="194" t="s">
        <v>225</v>
      </c>
      <c r="B13" t="s">
        <v>103</v>
      </c>
      <c r="C13" s="186">
        <v>0.3091</v>
      </c>
      <c r="D13" s="186">
        <v>0.3084</v>
      </c>
      <c r="E13" s="186">
        <v>0.3084</v>
      </c>
      <c r="F13" s="186">
        <v>0.3083</v>
      </c>
      <c r="G13" s="186">
        <v>0.3092</v>
      </c>
      <c r="H13" s="186">
        <v>0.3068</v>
      </c>
      <c r="I13" s="186">
        <v>0.3079</v>
      </c>
      <c r="J13" s="186">
        <v>0.308</v>
      </c>
      <c r="K13" s="186">
        <v>0.3095</v>
      </c>
      <c r="L13" s="186">
        <v>0.3087</v>
      </c>
    </row>
    <row r="14" spans="1:14" ht="12.75">
      <c r="A14" s="194"/>
      <c r="B14" t="s">
        <v>104</v>
      </c>
      <c r="C14" s="109">
        <f>IF(C11&lt;&gt;0,AVERAGE(C11:C13),"")</f>
        <v>0.3094666666666666</v>
      </c>
      <c r="D14" s="110">
        <f aca="true" t="shared" si="0" ref="D14:L14">IF(D11&lt;&gt;0,AVERAGE(D11:D13),"")</f>
        <v>0.30793333333333334</v>
      </c>
      <c r="E14" s="110">
        <f t="shared" si="0"/>
        <v>0.3078666666666667</v>
      </c>
      <c r="F14" s="110">
        <f t="shared" si="0"/>
        <v>0.30856666666666666</v>
      </c>
      <c r="G14" s="110">
        <f t="shared" si="0"/>
        <v>0.30846666666666667</v>
      </c>
      <c r="H14" s="110">
        <f t="shared" si="0"/>
        <v>0.30760000000000004</v>
      </c>
      <c r="I14" s="110">
        <f t="shared" si="0"/>
        <v>0.3084</v>
      </c>
      <c r="J14" s="110">
        <f t="shared" si="0"/>
        <v>0.3083</v>
      </c>
      <c r="K14" s="110">
        <f t="shared" si="0"/>
        <v>0.3084</v>
      </c>
      <c r="L14" s="110">
        <f t="shared" si="0"/>
        <v>0.30756666666666665</v>
      </c>
      <c r="M14" s="110">
        <f>IF(ISTEXT(C14),"",AVERAGE(C14:L14))</f>
        <v>0.30825666666666673</v>
      </c>
      <c r="N14" t="s">
        <v>106</v>
      </c>
    </row>
    <row r="15" spans="1:14" ht="12.75">
      <c r="A15" s="194"/>
      <c r="B15" t="s">
        <v>105</v>
      </c>
      <c r="C15" s="110">
        <f>IF(C11&lt;&gt;0,MAX(C11:C13)-MIN(C11:C13),"")</f>
        <v>0.0005999999999999894</v>
      </c>
      <c r="D15" s="110">
        <f aca="true" t="shared" si="1" ref="D15:L15">IF(D11&lt;&gt;0,MAX(D11:D13)-MIN(D11:D13),"")</f>
        <v>0.0008000000000000229</v>
      </c>
      <c r="E15" s="110">
        <f t="shared" si="1"/>
        <v>0.0008000000000000229</v>
      </c>
      <c r="F15" s="110">
        <f t="shared" si="1"/>
        <v>0.00039999999999995595</v>
      </c>
      <c r="G15" s="110">
        <f t="shared" si="1"/>
        <v>0.0017999999999999683</v>
      </c>
      <c r="H15" s="110">
        <f t="shared" si="1"/>
        <v>0.0017999999999999683</v>
      </c>
      <c r="I15" s="110">
        <f t="shared" si="1"/>
        <v>0.0015000000000000013</v>
      </c>
      <c r="J15" s="110">
        <f t="shared" si="1"/>
        <v>0.0005000000000000004</v>
      </c>
      <c r="K15" s="110">
        <f t="shared" si="1"/>
        <v>0.002599999999999991</v>
      </c>
      <c r="L15" s="110">
        <f t="shared" si="1"/>
        <v>0.0023999999999999577</v>
      </c>
      <c r="M15" s="110">
        <f>IF(ISTEXT(C15),"",AVERAGE(C15:L15))</f>
        <v>0.0013199999999999878</v>
      </c>
      <c r="N15" t="s">
        <v>107</v>
      </c>
    </row>
    <row r="17" spans="1:12" ht="12.75">
      <c r="A17" s="185" t="s">
        <v>214</v>
      </c>
      <c r="B17" t="s">
        <v>2</v>
      </c>
      <c r="C17" s="186">
        <v>0.3086</v>
      </c>
      <c r="D17" s="186">
        <v>0.3096</v>
      </c>
      <c r="E17" s="186">
        <v>0.3081</v>
      </c>
      <c r="F17" s="186">
        <v>0.3099</v>
      </c>
      <c r="G17" s="186">
        <v>0.3076</v>
      </c>
      <c r="H17" s="186">
        <v>0.307</v>
      </c>
      <c r="I17" s="186">
        <v>0.3095</v>
      </c>
      <c r="J17" s="186">
        <v>0.3065</v>
      </c>
      <c r="K17" s="186">
        <v>0.3106</v>
      </c>
      <c r="L17" s="186">
        <v>0.3069</v>
      </c>
    </row>
    <row r="18" spans="1:12" ht="12.75">
      <c r="A18" s="194" t="s">
        <v>224</v>
      </c>
      <c r="B18" t="s">
        <v>102</v>
      </c>
      <c r="C18" s="186">
        <v>0.3086</v>
      </c>
      <c r="D18" s="186">
        <v>0.3076</v>
      </c>
      <c r="E18" s="186">
        <v>0.3076</v>
      </c>
      <c r="F18" s="186">
        <v>0.3092</v>
      </c>
      <c r="G18" s="186">
        <v>0.3087</v>
      </c>
      <c r="H18" s="186">
        <v>0.3086</v>
      </c>
      <c r="I18" s="186">
        <v>0.3097</v>
      </c>
      <c r="J18" s="186">
        <v>0.3075</v>
      </c>
      <c r="K18" s="186">
        <v>0.3088</v>
      </c>
      <c r="L18" s="186">
        <v>0.3075</v>
      </c>
    </row>
    <row r="19" spans="1:12" ht="12.75">
      <c r="A19" s="194" t="s">
        <v>225</v>
      </c>
      <c r="B19" t="s">
        <v>103</v>
      </c>
      <c r="C19" s="186">
        <v>0.3086</v>
      </c>
      <c r="D19" s="186">
        <v>0.308</v>
      </c>
      <c r="E19" s="186">
        <v>0.3086</v>
      </c>
      <c r="F19" s="186">
        <v>0.3083</v>
      </c>
      <c r="G19" s="186">
        <v>0.3094</v>
      </c>
      <c r="H19" s="186">
        <v>0.3091</v>
      </c>
      <c r="I19" s="186">
        <v>0.3102</v>
      </c>
      <c r="J19" s="186">
        <v>0.3077</v>
      </c>
      <c r="K19" s="186">
        <v>0.3094</v>
      </c>
      <c r="L19" s="186">
        <v>0.3067</v>
      </c>
    </row>
    <row r="20" spans="1:14" ht="12.75">
      <c r="A20" s="194"/>
      <c r="B20" t="s">
        <v>108</v>
      </c>
      <c r="C20" s="110">
        <f>IF(C17&lt;&gt;0,AVERAGE(C17:C19),"")</f>
        <v>0.3086</v>
      </c>
      <c r="D20" s="110">
        <f aca="true" t="shared" si="2" ref="D20:L20">IF(D17&lt;&gt;0,AVERAGE(D17:D19),"")</f>
        <v>0.3084</v>
      </c>
      <c r="E20" s="110">
        <f t="shared" si="2"/>
        <v>0.3081</v>
      </c>
      <c r="F20" s="110">
        <f t="shared" si="2"/>
        <v>0.3091333333333333</v>
      </c>
      <c r="G20" s="110">
        <f t="shared" si="2"/>
        <v>0.30856666666666666</v>
      </c>
      <c r="H20" s="110">
        <f t="shared" si="2"/>
        <v>0.3082333333333333</v>
      </c>
      <c r="I20" s="110">
        <f t="shared" si="2"/>
        <v>0.3098</v>
      </c>
      <c r="J20" s="110">
        <f t="shared" si="2"/>
        <v>0.3072333333333333</v>
      </c>
      <c r="K20" s="110">
        <f t="shared" si="2"/>
        <v>0.3096</v>
      </c>
      <c r="L20" s="110">
        <f t="shared" si="2"/>
        <v>0.3070333333333333</v>
      </c>
      <c r="M20" s="110">
        <f>IF(ISTEXT(C20),"",AVERAGE(C20:L20))</f>
        <v>0.30847</v>
      </c>
      <c r="N20" t="s">
        <v>112</v>
      </c>
    </row>
    <row r="21" spans="1:14" ht="12.75">
      <c r="A21" s="194"/>
      <c r="B21" t="s">
        <v>109</v>
      </c>
      <c r="C21" s="110">
        <f>IF(C17&lt;&gt;0,MAX(C17:C19)-MIN(C17:C19),"")</f>
        <v>0</v>
      </c>
      <c r="D21" s="110">
        <f aca="true" t="shared" si="3" ref="D21:L21">IF(D17&lt;&gt;0,MAX(D17:D19)-MIN(D17:D19),"")</f>
        <v>0.0020000000000000018</v>
      </c>
      <c r="E21" s="110">
        <f t="shared" si="3"/>
        <v>0.0010000000000000009</v>
      </c>
      <c r="F21" s="110">
        <f t="shared" si="3"/>
        <v>0.0015999999999999903</v>
      </c>
      <c r="G21" s="110">
        <f t="shared" si="3"/>
        <v>0.0018000000000000238</v>
      </c>
      <c r="H21" s="110">
        <f t="shared" si="3"/>
        <v>0.0020999999999999908</v>
      </c>
      <c r="I21" s="110">
        <f t="shared" si="3"/>
        <v>0.0006999999999999784</v>
      </c>
      <c r="J21" s="110">
        <f t="shared" si="3"/>
        <v>0.0011999999999999789</v>
      </c>
      <c r="K21" s="110">
        <f t="shared" si="3"/>
        <v>0.0017999999999999683</v>
      </c>
      <c r="L21" s="110">
        <f t="shared" si="3"/>
        <v>0.0008000000000000229</v>
      </c>
      <c r="M21" s="110">
        <f>IF(ISTEXT(C21),"",AVERAGE(C21:L21))</f>
        <v>0.0012999999999999956</v>
      </c>
      <c r="N21" t="s">
        <v>113</v>
      </c>
    </row>
    <row r="23" spans="1:12" ht="12.75">
      <c r="A23" s="185" t="s">
        <v>215</v>
      </c>
      <c r="B23" t="s">
        <v>2</v>
      </c>
      <c r="C23" s="186">
        <v>0.3088</v>
      </c>
      <c r="D23" s="186">
        <v>0.3091</v>
      </c>
      <c r="E23" s="186">
        <v>0.3088</v>
      </c>
      <c r="F23" s="186">
        <v>0.3088</v>
      </c>
      <c r="G23" s="186">
        <v>0.309</v>
      </c>
      <c r="H23" s="186">
        <v>0.3071</v>
      </c>
      <c r="I23" s="186" t="s">
        <v>219</v>
      </c>
      <c r="J23" s="186">
        <v>0.3077</v>
      </c>
      <c r="K23" s="186">
        <v>0.307</v>
      </c>
      <c r="L23" s="186">
        <v>0.3075</v>
      </c>
    </row>
    <row r="24" spans="1:12" ht="12.75">
      <c r="A24" s="194" t="s">
        <v>224</v>
      </c>
      <c r="B24" t="s">
        <v>102</v>
      </c>
      <c r="C24" s="186">
        <v>0.307</v>
      </c>
      <c r="D24" s="186">
        <v>0.3083</v>
      </c>
      <c r="E24" s="186">
        <v>0.3086</v>
      </c>
      <c r="F24" s="186">
        <v>0.3074</v>
      </c>
      <c r="G24" s="186">
        <v>0.309</v>
      </c>
      <c r="H24" s="186">
        <v>0.3075</v>
      </c>
      <c r="I24" s="186">
        <v>0.3089</v>
      </c>
      <c r="J24" s="186">
        <v>0.3087</v>
      </c>
      <c r="K24" s="186">
        <v>0.3086</v>
      </c>
      <c r="L24" s="186">
        <v>0.3074</v>
      </c>
    </row>
    <row r="25" spans="1:12" ht="12.75">
      <c r="A25" s="194" t="s">
        <v>225</v>
      </c>
      <c r="B25" t="s">
        <v>103</v>
      </c>
      <c r="C25" s="186">
        <v>0.3089</v>
      </c>
      <c r="D25" s="186">
        <v>0.3079</v>
      </c>
      <c r="E25" s="186">
        <v>0.309</v>
      </c>
      <c r="F25" s="186">
        <v>0.3092</v>
      </c>
      <c r="G25" s="186">
        <v>0.3087</v>
      </c>
      <c r="H25" s="186">
        <v>0.3087</v>
      </c>
      <c r="I25" s="186">
        <v>0.3072</v>
      </c>
      <c r="J25" s="186">
        <v>0.3087</v>
      </c>
      <c r="K25" s="186">
        <v>0.3091</v>
      </c>
      <c r="L25" s="186">
        <v>0.3075</v>
      </c>
    </row>
    <row r="26" spans="1:14" ht="12.75">
      <c r="A26" s="194"/>
      <c r="B26" t="s">
        <v>110</v>
      </c>
      <c r="C26" s="110">
        <f>IF(C23&lt;&gt;0,AVERAGE(C23:C25),"")</f>
        <v>0.30823333333333336</v>
      </c>
      <c r="D26" s="110">
        <f aca="true" t="shared" si="4" ref="D26:L26">IF(D23&lt;&gt;0,AVERAGE(D23:D25),"")</f>
        <v>0.30843333333333334</v>
      </c>
      <c r="E26" s="110">
        <f t="shared" si="4"/>
        <v>0.30879999999999996</v>
      </c>
      <c r="F26" s="110">
        <f t="shared" si="4"/>
        <v>0.30846666666666667</v>
      </c>
      <c r="G26" s="110">
        <f t="shared" si="4"/>
        <v>0.3089</v>
      </c>
      <c r="H26" s="110">
        <f t="shared" si="4"/>
        <v>0.3077666666666667</v>
      </c>
      <c r="I26" s="110">
        <f t="shared" si="4"/>
        <v>0.30805</v>
      </c>
      <c r="J26" s="110">
        <f t="shared" si="4"/>
        <v>0.3083666666666666</v>
      </c>
      <c r="K26" s="110">
        <f t="shared" si="4"/>
        <v>0.3082333333333333</v>
      </c>
      <c r="L26" s="110">
        <f t="shared" si="4"/>
        <v>0.30746666666666667</v>
      </c>
      <c r="M26" s="110">
        <f>IF(ISTEXT(C26),"",AVERAGE(C26:L26))</f>
        <v>0.30827166666666667</v>
      </c>
      <c r="N26" t="s">
        <v>114</v>
      </c>
    </row>
    <row r="27" spans="1:14" ht="12.75">
      <c r="A27" s="194"/>
      <c r="B27" t="s">
        <v>111</v>
      </c>
      <c r="C27" s="110">
        <f>IF(C23&lt;&gt;0,MAX(C23:C25)-MIN(C23:C25),"")</f>
        <v>0.0019000000000000128</v>
      </c>
      <c r="D27" s="110">
        <f aca="true" t="shared" si="5" ref="D27:L27">IF(D23&lt;&gt;0,MAX(D23:D25)-MIN(D23:D25),"")</f>
        <v>0.0011999999999999789</v>
      </c>
      <c r="E27" s="110">
        <f t="shared" si="5"/>
        <v>0.00040000000000001146</v>
      </c>
      <c r="F27" s="110">
        <f t="shared" si="5"/>
        <v>0.0017999999999999683</v>
      </c>
      <c r="G27" s="110">
        <f t="shared" si="5"/>
        <v>0.00030000000000002247</v>
      </c>
      <c r="H27" s="110">
        <f t="shared" si="5"/>
        <v>0.0015999999999999903</v>
      </c>
      <c r="I27" s="110">
        <f t="shared" si="5"/>
        <v>0.0017000000000000348</v>
      </c>
      <c r="J27" s="110">
        <f t="shared" si="5"/>
        <v>0.0010000000000000009</v>
      </c>
      <c r="K27" s="110">
        <f t="shared" si="5"/>
        <v>0.0020999999999999908</v>
      </c>
      <c r="L27" s="110">
        <f t="shared" si="5"/>
        <v>9.999999999998899E-05</v>
      </c>
      <c r="M27" s="110">
        <f>IF(ISTEXT(C27),"",AVERAGE(C27:L27))</f>
        <v>0.00121</v>
      </c>
      <c r="N27" t="s">
        <v>115</v>
      </c>
    </row>
    <row r="28" spans="1:13" ht="12.75">
      <c r="A28" s="191" t="s">
        <v>9</v>
      </c>
      <c r="C28" s="193">
        <f aca="true" t="shared" si="6" ref="C28:L28">$B$35</f>
        <v>0.003293799999999986</v>
      </c>
      <c r="D28" s="193">
        <f t="shared" si="6"/>
        <v>0.003293799999999986</v>
      </c>
      <c r="E28" s="193">
        <f t="shared" si="6"/>
        <v>0.003293799999999986</v>
      </c>
      <c r="F28" s="193">
        <f t="shared" si="6"/>
        <v>0.003293799999999986</v>
      </c>
      <c r="G28" s="193">
        <f t="shared" si="6"/>
        <v>0.003293799999999986</v>
      </c>
      <c r="H28" s="193">
        <f t="shared" si="6"/>
        <v>0.003293799999999986</v>
      </c>
      <c r="I28" s="193">
        <f t="shared" si="6"/>
        <v>0.003293799999999986</v>
      </c>
      <c r="J28" s="193">
        <f t="shared" si="6"/>
        <v>0.003293799999999986</v>
      </c>
      <c r="K28" s="193">
        <f t="shared" si="6"/>
        <v>0.003293799999999986</v>
      </c>
      <c r="L28" s="193">
        <f t="shared" si="6"/>
        <v>0.003293799999999986</v>
      </c>
      <c r="M28" s="193"/>
    </row>
    <row r="29" spans="1:13" ht="12.75">
      <c r="A29" s="191" t="s">
        <v>12</v>
      </c>
      <c r="C29" s="191">
        <f aca="true" t="shared" si="7" ref="C29:L29">$B$36</f>
        <v>0</v>
      </c>
      <c r="D29" s="191">
        <f t="shared" si="7"/>
        <v>0</v>
      </c>
      <c r="E29" s="191">
        <f t="shared" si="7"/>
        <v>0</v>
      </c>
      <c r="F29" s="191">
        <f t="shared" si="7"/>
        <v>0</v>
      </c>
      <c r="G29" s="191">
        <f t="shared" si="7"/>
        <v>0</v>
      </c>
      <c r="H29" s="191">
        <f t="shared" si="7"/>
        <v>0</v>
      </c>
      <c r="I29" s="191">
        <f t="shared" si="7"/>
        <v>0</v>
      </c>
      <c r="J29" s="191">
        <f t="shared" si="7"/>
        <v>0</v>
      </c>
      <c r="K29" s="191">
        <f t="shared" si="7"/>
        <v>0</v>
      </c>
      <c r="L29" s="191">
        <f t="shared" si="7"/>
        <v>0</v>
      </c>
      <c r="M29" s="191"/>
    </row>
    <row r="30" spans="1:14" ht="14.25">
      <c r="A30" s="226" t="s">
        <v>116</v>
      </c>
      <c r="B30" s="226"/>
      <c r="C30" s="110">
        <f>IF(ISERROR(AVERAGE(C11:C13,C17:C19,C23:C25)),"",AVERAGE(C14,C20,C26))</f>
        <v>0.30876666666666663</v>
      </c>
      <c r="D30" s="110">
        <f aca="true" t="shared" si="8" ref="D30:L30">IF(ISERROR(AVERAGE(D11:D13,D17:D19,D23:D25)),"",AVERAGE(D14,D20,D26))</f>
        <v>0.30825555555555556</v>
      </c>
      <c r="E30" s="110">
        <f t="shared" si="8"/>
        <v>0.30825555555555556</v>
      </c>
      <c r="F30" s="110">
        <f t="shared" si="8"/>
        <v>0.3087222222222222</v>
      </c>
      <c r="G30" s="110">
        <f t="shared" si="8"/>
        <v>0.30864444444444444</v>
      </c>
      <c r="H30" s="110">
        <f t="shared" si="8"/>
        <v>0.3078666666666667</v>
      </c>
      <c r="I30" s="110">
        <f t="shared" si="8"/>
        <v>0.30875</v>
      </c>
      <c r="J30" s="110">
        <f t="shared" si="8"/>
        <v>0.30796666666666667</v>
      </c>
      <c r="K30" s="110">
        <f t="shared" si="8"/>
        <v>0.30874444444444443</v>
      </c>
      <c r="L30" s="110">
        <f t="shared" si="8"/>
        <v>0.30735555555555555</v>
      </c>
      <c r="M30" s="110">
        <f>IF(ISTEXT(C30),"",MAX(C30:L30)-MIN(C30:L30))</f>
        <v>0.0014111111111110852</v>
      </c>
      <c r="N30" t="s">
        <v>117</v>
      </c>
    </row>
    <row r="31" spans="1:13" ht="12.75">
      <c r="A31" s="226" t="s">
        <v>124</v>
      </c>
      <c r="B31" s="226"/>
      <c r="C31" s="111"/>
      <c r="D31" s="111">
        <v>0.7071</v>
      </c>
      <c r="E31" s="111">
        <v>0.5231</v>
      </c>
      <c r="F31" s="111">
        <v>0.4467</v>
      </c>
      <c r="G31" s="111">
        <v>0.403</v>
      </c>
      <c r="H31" s="111">
        <v>0.3742</v>
      </c>
      <c r="I31" s="111">
        <v>0.3534</v>
      </c>
      <c r="J31" s="111">
        <v>0.3375</v>
      </c>
      <c r="K31" s="111">
        <v>0.3249</v>
      </c>
      <c r="L31" s="111">
        <v>0.3146</v>
      </c>
      <c r="M31" s="111"/>
    </row>
    <row r="33" spans="1:8" ht="24" customHeight="1">
      <c r="A33" s="90" t="s">
        <v>118</v>
      </c>
      <c r="B33" s="110">
        <f>IF(ISTEXT(M15),"",AVERAGE(M15,M21,M27))</f>
        <v>0.0012766666666666612</v>
      </c>
      <c r="D33" s="99" t="s">
        <v>3</v>
      </c>
      <c r="E33" s="100"/>
      <c r="F33" s="100"/>
      <c r="G33" s="100"/>
      <c r="H33" s="101"/>
    </row>
    <row r="34" spans="1:11" ht="14.25">
      <c r="A34" t="s">
        <v>119</v>
      </c>
      <c r="B34" s="110">
        <f>IF(ISTEXT(M14),"",MAX(M14,M20,M26)-MIN(M14,M20,M26))</f>
        <v>0.00021333333333328763</v>
      </c>
      <c r="D34" s="94" t="s">
        <v>4</v>
      </c>
      <c r="E34" s="93" t="s">
        <v>5</v>
      </c>
      <c r="F34" s="93" t="s">
        <v>6</v>
      </c>
      <c r="G34" s="93" t="s">
        <v>7</v>
      </c>
      <c r="H34" s="95" t="s">
        <v>8</v>
      </c>
      <c r="I34" s="22"/>
      <c r="K34" s="20" t="s">
        <v>11</v>
      </c>
    </row>
    <row r="35" spans="1:11" ht="12.75">
      <c r="A35" t="s">
        <v>9</v>
      </c>
      <c r="B35" s="111">
        <f>IF(ISTEXT(B33),"",(B33*F35))</f>
        <v>0.003293799999999986</v>
      </c>
      <c r="D35" s="94">
        <v>2.11</v>
      </c>
      <c r="E35" s="93">
        <v>2.28</v>
      </c>
      <c r="F35" s="93">
        <v>2.58</v>
      </c>
      <c r="G35" s="93">
        <v>3.27</v>
      </c>
      <c r="H35" s="95" t="s">
        <v>10</v>
      </c>
      <c r="I35" s="22"/>
      <c r="K35" s="20" t="s">
        <v>14</v>
      </c>
    </row>
    <row r="36" spans="1:11" ht="12.75">
      <c r="A36" t="s">
        <v>12</v>
      </c>
      <c r="B36" s="111">
        <v>0</v>
      </c>
      <c r="D36" s="94">
        <v>0</v>
      </c>
      <c r="E36" s="93">
        <v>0</v>
      </c>
      <c r="F36" s="93">
        <v>0</v>
      </c>
      <c r="G36" s="93">
        <v>0</v>
      </c>
      <c r="H36" s="95" t="s">
        <v>13</v>
      </c>
      <c r="I36" s="22"/>
      <c r="K36" s="20" t="s">
        <v>17</v>
      </c>
    </row>
    <row r="37" spans="1:11" ht="12.75">
      <c r="A37" t="s">
        <v>15</v>
      </c>
      <c r="B37" s="110">
        <f>IF(ISTEXT(B33),"",(B33*IF(ISBLANK(C19:L19),G37,F37)))</f>
        <v>0.0007542546666666634</v>
      </c>
      <c r="D37" s="94"/>
      <c r="E37" s="93"/>
      <c r="F37" s="93">
        <v>0.5908</v>
      </c>
      <c r="G37" s="93">
        <v>0.8862</v>
      </c>
      <c r="H37" s="95" t="s">
        <v>16</v>
      </c>
      <c r="I37" s="22"/>
      <c r="K37" s="20" t="s">
        <v>20</v>
      </c>
    </row>
    <row r="38" spans="1:9" ht="12.75">
      <c r="A38" t="s">
        <v>18</v>
      </c>
      <c r="B38" s="110">
        <v>0</v>
      </c>
      <c r="D38" s="94">
        <v>0.7071</v>
      </c>
      <c r="E38" s="93">
        <v>0.5231</v>
      </c>
      <c r="F38" s="93"/>
      <c r="G38" s="93"/>
      <c r="H38" s="95" t="s">
        <v>19</v>
      </c>
      <c r="I38" s="22"/>
    </row>
    <row r="39" spans="1:9" ht="12.75">
      <c r="A39" t="s">
        <v>120</v>
      </c>
      <c r="B39" s="110">
        <f>IF(ISTEXT(B37),"",SQRT((B37)^2+(B38)^2))</f>
        <v>0.0007542546666666634</v>
      </c>
      <c r="D39" s="96" t="s">
        <v>21</v>
      </c>
      <c r="E39" s="97" t="s">
        <v>132</v>
      </c>
      <c r="F39" s="97"/>
      <c r="G39" s="97"/>
      <c r="H39" s="98"/>
      <c r="I39" s="22"/>
    </row>
    <row r="40" spans="1:2" ht="12.75">
      <c r="A40" t="s">
        <v>131</v>
      </c>
      <c r="B40" s="111">
        <f>IF(ISBLANK(B5),"",B5-B6)</f>
        <v>0.006000000000000005</v>
      </c>
    </row>
    <row r="41" spans="1:7" ht="12.75">
      <c r="A41" t="s">
        <v>121</v>
      </c>
      <c r="B41" s="110">
        <f>IF(ISTEXT(M30),"",M30*INDEX(C31:L31,1,(COUNT(C11:L11))))</f>
        <v>0.0004439355555555474</v>
      </c>
      <c r="F41" s="102" t="s">
        <v>22</v>
      </c>
      <c r="G41" s="103" t="s">
        <v>23</v>
      </c>
    </row>
    <row r="42" spans="1:7" ht="12.75">
      <c r="A42" t="s">
        <v>122</v>
      </c>
      <c r="B42" s="110">
        <f>IF(ISTEXT(B39),"",SQRT(B39^2+B41^2))</f>
        <v>0.0008752021935957724</v>
      </c>
      <c r="F42" s="96">
        <f>COUNT(C11:L11)</f>
        <v>10</v>
      </c>
      <c r="G42" s="98">
        <f>COUNT(C11:C13)</f>
        <v>3</v>
      </c>
    </row>
    <row r="43" spans="1:2" ht="12.75">
      <c r="A43" t="s">
        <v>123</v>
      </c>
      <c r="B43" s="112">
        <f>IF(ISTEXT(B39),"",1.41*(B41/B39))</f>
        <v>0.8298909652089097</v>
      </c>
    </row>
    <row r="45" spans="2:3" ht="24.75" customHeight="1">
      <c r="B45" s="90" t="s">
        <v>129</v>
      </c>
      <c r="C45" s="90" t="s">
        <v>130</v>
      </c>
    </row>
    <row r="46" spans="1:3" ht="12.75">
      <c r="A46" t="s">
        <v>125</v>
      </c>
      <c r="B46" s="113">
        <f>IF(ISTEXT(B37),"",B37/B42)</f>
        <v>0.8618061885423349</v>
      </c>
      <c r="C46" s="113">
        <f>IF(ISTEXT(B37),"",B37/B40)</f>
        <v>0.12570911111111044</v>
      </c>
    </row>
    <row r="47" spans="1:3" ht="12.75">
      <c r="A47" t="s">
        <v>126</v>
      </c>
      <c r="B47" s="113">
        <f>IF(ISTEXT(B38),"",B38/B42)</f>
        <v>0</v>
      </c>
      <c r="C47" s="113">
        <f>IF(ISTEXT(B38),"",B38/B40)</f>
        <v>0</v>
      </c>
    </row>
    <row r="48" spans="1:3" ht="12.75">
      <c r="A48" t="s">
        <v>127</v>
      </c>
      <c r="B48" s="113">
        <f>IF(ISTEXT(B39),"",B39/B42)</f>
        <v>0.8618061885423349</v>
      </c>
      <c r="C48" s="113">
        <f>IF(ISTEXT(B39),"",B39/B40)</f>
        <v>0.12570911111111044</v>
      </c>
    </row>
    <row r="49" spans="1:3" ht="12.75">
      <c r="A49" t="s">
        <v>128</v>
      </c>
      <c r="B49" s="113">
        <f>IF(ISTEXT(B41),"",B41/B42)</f>
        <v>0.5072377089591561</v>
      </c>
      <c r="C49" s="113">
        <f>IF(ISTEXT(B41),"",B41/B40)</f>
        <v>0.07398925925925783</v>
      </c>
    </row>
    <row r="51" spans="1:9" ht="15.75">
      <c r="A51" s="104" t="s">
        <v>63</v>
      </c>
      <c r="B51" s="218" t="str">
        <f>IF(ISTEXT(C48),"",IF($C$48&lt;0.1,"Gage System Okay",IF($C$48&lt;=0.3,"Gage system may be acceptable based on importance of application and cost","Gage system Unacceptable")))</f>
        <v>Gage system may be acceptable based on importance of application and cost</v>
      </c>
      <c r="C51" s="219"/>
      <c r="D51" s="219"/>
      <c r="E51" s="219"/>
      <c r="F51" s="219"/>
      <c r="G51" s="219"/>
      <c r="H51" s="219"/>
      <c r="I51" s="219"/>
    </row>
    <row r="54" spans="1:2" ht="12.75">
      <c r="A54" s="25" t="s">
        <v>134</v>
      </c>
      <c r="B54" t="s">
        <v>133</v>
      </c>
    </row>
    <row r="55" ht="12.75">
      <c r="B55" t="s">
        <v>24</v>
      </c>
    </row>
  </sheetData>
  <sheetProtection selectLockedCells="1"/>
  <mergeCells count="14">
    <mergeCell ref="A1:P1"/>
    <mergeCell ref="B3:D3"/>
    <mergeCell ref="H3:J3"/>
    <mergeCell ref="B4:D4"/>
    <mergeCell ref="H4:J4"/>
    <mergeCell ref="B51:I51"/>
    <mergeCell ref="B6:D6"/>
    <mergeCell ref="N3:O3"/>
    <mergeCell ref="N4:O4"/>
    <mergeCell ref="N5:O5"/>
    <mergeCell ref="B5:D5"/>
    <mergeCell ref="H5:J5"/>
    <mergeCell ref="A30:B30"/>
    <mergeCell ref="A31:B31"/>
  </mergeCells>
  <printOptions horizontalCentered="1"/>
  <pageMargins left="0.75" right="0.5" top="1" bottom="1" header="0.5" footer="0.5"/>
  <pageSetup horizontalDpi="600" verticalDpi="600" orientation="portrait" scale="53" r:id="rId4"/>
  <headerFooter alignWithMargins="0">
    <oddFooter>&amp;LForm 827  Rev. A  08-Jul-03</oddFooter>
  </headerFooter>
  <rowBreaks count="1" manualBreakCount="1">
    <brk id="56" max="15" man="1"/>
  </rowBreaks>
  <drawing r:id="rId3"/>
  <legacyDrawing r:id="rId2"/>
</worksheet>
</file>

<file path=xl/worksheets/sheet3.xml><?xml version="1.0" encoding="utf-8"?>
<worksheet xmlns="http://schemas.openxmlformats.org/spreadsheetml/2006/main" xmlns:r="http://schemas.openxmlformats.org/officeDocument/2006/relationships">
  <dimension ref="A1:P55"/>
  <sheetViews>
    <sheetView tabSelected="1" zoomScale="80" zoomScaleNormal="80" workbookViewId="0" topLeftCell="A1">
      <selection activeCell="B38" sqref="B38"/>
    </sheetView>
  </sheetViews>
  <sheetFormatPr defaultColWidth="9.140625" defaultRowHeight="12.75"/>
  <cols>
    <col min="1" max="1" width="21.421875" style="0" customWidth="1"/>
    <col min="2" max="2" width="10.421875" style="0" customWidth="1"/>
    <col min="3" max="3" width="9.57421875" style="0" customWidth="1"/>
    <col min="4" max="4" width="7.28125" style="0" customWidth="1"/>
    <col min="5" max="5" width="7.140625" style="0" customWidth="1"/>
    <col min="6" max="6" width="7.28125" style="0" customWidth="1"/>
    <col min="7" max="9" width="7.7109375" style="0" customWidth="1"/>
    <col min="10" max="10" width="7.421875" style="0" customWidth="1"/>
    <col min="11" max="11" width="6.8515625" style="0" customWidth="1"/>
    <col min="12" max="12" width="7.28125" style="0" customWidth="1"/>
    <col min="13" max="13" width="8.00390625" style="0" customWidth="1"/>
    <col min="14" max="14" width="12.7109375" style="0" bestFit="1" customWidth="1"/>
    <col min="15" max="15" width="11.421875" style="0" customWidth="1"/>
  </cols>
  <sheetData>
    <row r="1" spans="1:16" ht="27.75">
      <c r="A1" s="227" t="s">
        <v>220</v>
      </c>
      <c r="B1" s="227"/>
      <c r="C1" s="227"/>
      <c r="D1" s="227"/>
      <c r="E1" s="227"/>
      <c r="F1" s="227"/>
      <c r="G1" s="227"/>
      <c r="H1" s="227"/>
      <c r="I1" s="227"/>
      <c r="J1" s="227"/>
      <c r="K1" s="227"/>
      <c r="L1" s="227"/>
      <c r="M1" s="227"/>
      <c r="N1" s="227"/>
      <c r="O1" s="227"/>
      <c r="P1" s="227"/>
    </row>
    <row r="2" spans="1:16" ht="15">
      <c r="A2" s="1"/>
      <c r="B2" s="1"/>
      <c r="C2" s="1"/>
      <c r="D2" s="1"/>
      <c r="E2" s="1"/>
      <c r="F2" s="1"/>
      <c r="G2" s="1"/>
      <c r="H2" s="1"/>
      <c r="I2" s="1"/>
      <c r="J2" s="1"/>
      <c r="K2" s="1"/>
      <c r="L2" s="1"/>
      <c r="M2" s="1"/>
      <c r="N2" s="1"/>
      <c r="O2" s="1"/>
      <c r="P2" s="2"/>
    </row>
    <row r="3" spans="1:16" ht="15">
      <c r="A3" s="3" t="s">
        <v>25</v>
      </c>
      <c r="B3" s="231"/>
      <c r="C3" s="231"/>
      <c r="D3" s="231"/>
      <c r="E3" s="4"/>
      <c r="F3" s="3" t="s">
        <v>27</v>
      </c>
      <c r="G3" s="4"/>
      <c r="H3" s="231"/>
      <c r="I3" s="231"/>
      <c r="J3" s="231"/>
      <c r="K3" s="4"/>
      <c r="L3" s="3" t="s">
        <v>30</v>
      </c>
      <c r="M3" s="4"/>
      <c r="N3" s="108">
        <v>37749</v>
      </c>
      <c r="O3" s="29"/>
      <c r="P3" s="6"/>
    </row>
    <row r="4" spans="1:16" ht="15">
      <c r="A4" s="3" t="s">
        <v>26</v>
      </c>
      <c r="B4" s="230"/>
      <c r="C4" s="230"/>
      <c r="D4" s="230"/>
      <c r="E4" s="4"/>
      <c r="F4" s="3" t="s">
        <v>28</v>
      </c>
      <c r="G4" s="4"/>
      <c r="H4" s="232"/>
      <c r="I4" s="232"/>
      <c r="J4" s="232"/>
      <c r="K4" s="4"/>
      <c r="L4" s="3" t="s">
        <v>31</v>
      </c>
      <c r="M4" s="4"/>
      <c r="N4" s="105" t="s">
        <v>221</v>
      </c>
      <c r="O4" s="27"/>
      <c r="P4" s="7"/>
    </row>
    <row r="5" spans="1:16" ht="15">
      <c r="A5" s="3" t="s">
        <v>100</v>
      </c>
      <c r="B5" s="230">
        <v>2</v>
      </c>
      <c r="C5" s="230"/>
      <c r="D5" s="230"/>
      <c r="E5" s="4"/>
      <c r="F5" s="3" t="s">
        <v>29</v>
      </c>
      <c r="G5" s="4"/>
      <c r="H5" s="230"/>
      <c r="I5" s="230"/>
      <c r="J5" s="230"/>
      <c r="K5" s="4"/>
      <c r="L5" s="8"/>
      <c r="M5" s="9"/>
      <c r="N5" s="27"/>
      <c r="O5" s="27"/>
      <c r="P5" s="7"/>
    </row>
    <row r="6" spans="1:4" ht="15">
      <c r="A6" s="3" t="s">
        <v>101</v>
      </c>
      <c r="B6" s="106">
        <v>1</v>
      </c>
      <c r="C6" s="107"/>
      <c r="D6" s="107"/>
    </row>
    <row r="9" spans="3:12" ht="30" customHeight="1">
      <c r="C9" s="88" t="s">
        <v>0</v>
      </c>
      <c r="D9" s="88"/>
      <c r="E9" s="88"/>
      <c r="F9" s="88"/>
      <c r="G9" s="88"/>
      <c r="H9" s="88"/>
      <c r="I9" s="88"/>
      <c r="J9" s="88"/>
      <c r="K9" s="88"/>
      <c r="L9" s="88"/>
    </row>
    <row r="10" spans="1:12" ht="13.5" customHeight="1">
      <c r="A10" s="86" t="s">
        <v>212</v>
      </c>
      <c r="B10" s="87"/>
      <c r="C10" s="188">
        <v>1</v>
      </c>
      <c r="D10" s="188">
        <v>2</v>
      </c>
      <c r="E10" s="188">
        <v>3</v>
      </c>
      <c r="F10" s="188">
        <v>4</v>
      </c>
      <c r="G10" s="188">
        <v>5</v>
      </c>
      <c r="H10" s="188">
        <v>6</v>
      </c>
      <c r="I10" s="188">
        <v>7</v>
      </c>
      <c r="J10" s="188">
        <v>8</v>
      </c>
      <c r="K10" s="188">
        <v>9</v>
      </c>
      <c r="L10" s="188">
        <v>10</v>
      </c>
    </row>
    <row r="11" spans="1:12" ht="12.75">
      <c r="A11" s="185" t="s">
        <v>213</v>
      </c>
      <c r="B11" t="s">
        <v>2</v>
      </c>
      <c r="C11" s="189">
        <v>0.29</v>
      </c>
      <c r="D11" s="189">
        <v>-0.56</v>
      </c>
      <c r="E11" s="189">
        <v>1.34</v>
      </c>
      <c r="F11" s="189">
        <v>0.47</v>
      </c>
      <c r="G11" s="189">
        <v>-0.8</v>
      </c>
      <c r="H11" s="189">
        <v>0.02</v>
      </c>
      <c r="I11" s="189">
        <v>0.59</v>
      </c>
      <c r="J11" s="189">
        <v>-0.31</v>
      </c>
      <c r="K11" s="189">
        <v>2.26</v>
      </c>
      <c r="L11" s="189">
        <v>-1.36</v>
      </c>
    </row>
    <row r="12" spans="1:12" ht="12.75">
      <c r="A12" s="194"/>
      <c r="B12" t="s">
        <v>102</v>
      </c>
      <c r="C12" s="189">
        <v>0.41</v>
      </c>
      <c r="D12" s="189">
        <v>-0.68</v>
      </c>
      <c r="E12" s="189">
        <v>1.17</v>
      </c>
      <c r="F12" s="189">
        <v>0.5</v>
      </c>
      <c r="G12" s="189">
        <v>-0.92</v>
      </c>
      <c r="H12" s="189">
        <v>-0.11</v>
      </c>
      <c r="I12" s="189">
        <v>0.75</v>
      </c>
      <c r="J12" s="189">
        <v>-0.2</v>
      </c>
      <c r="K12" s="189">
        <v>1.99</v>
      </c>
      <c r="L12" s="189">
        <v>-1.25</v>
      </c>
    </row>
    <row r="13" spans="1:12" ht="12.75">
      <c r="A13" s="194"/>
      <c r="B13" t="s">
        <v>103</v>
      </c>
      <c r="C13" s="189">
        <v>0.64</v>
      </c>
      <c r="D13" s="189">
        <v>-0.58</v>
      </c>
      <c r="E13" s="189">
        <v>1.27</v>
      </c>
      <c r="F13" s="189">
        <v>0.64</v>
      </c>
      <c r="G13" s="189">
        <v>-0.84</v>
      </c>
      <c r="H13" s="189">
        <v>-0.21</v>
      </c>
      <c r="I13" s="189">
        <v>0.66</v>
      </c>
      <c r="J13" s="189">
        <v>-0.17</v>
      </c>
      <c r="K13" s="189">
        <v>2.01</v>
      </c>
      <c r="L13" s="189">
        <v>-1.31</v>
      </c>
    </row>
    <row r="14" spans="1:14" ht="12.75">
      <c r="A14" s="194"/>
      <c r="B14" t="s">
        <v>104</v>
      </c>
      <c r="C14" s="21">
        <f>IF(C11&lt;&gt;0,AVERAGE(C11:C13),"")</f>
        <v>0.4466666666666666</v>
      </c>
      <c r="D14" s="21">
        <f aca="true" t="shared" si="0" ref="D14:L14">IF(D11&lt;&gt;0,AVERAGE(D11:D13),"")</f>
        <v>-0.6066666666666668</v>
      </c>
      <c r="E14" s="21">
        <f t="shared" si="0"/>
        <v>1.26</v>
      </c>
      <c r="F14" s="21">
        <f t="shared" si="0"/>
        <v>0.5366666666666666</v>
      </c>
      <c r="G14" s="21">
        <f t="shared" si="0"/>
        <v>-0.8533333333333334</v>
      </c>
      <c r="H14" s="21">
        <f t="shared" si="0"/>
        <v>-0.09999999999999999</v>
      </c>
      <c r="I14" s="21">
        <f t="shared" si="0"/>
        <v>0.6666666666666666</v>
      </c>
      <c r="J14" s="21">
        <f t="shared" si="0"/>
        <v>-0.22666666666666668</v>
      </c>
      <c r="K14" s="21">
        <f t="shared" si="0"/>
        <v>2.0866666666666664</v>
      </c>
      <c r="L14" s="21">
        <f t="shared" si="0"/>
        <v>-1.3066666666666669</v>
      </c>
      <c r="M14" s="21">
        <f>IF(ISTEXT(C14),"",AVERAGE(C14:L14))</f>
        <v>0.19033333333333327</v>
      </c>
      <c r="N14" t="s">
        <v>106</v>
      </c>
    </row>
    <row r="15" spans="1:14" ht="12.75">
      <c r="A15" s="194"/>
      <c r="B15" t="s">
        <v>105</v>
      </c>
      <c r="C15" s="21">
        <f>IF(C11&lt;&gt;0,MAX(C11:C13)-MIN(C11:C13),"")</f>
        <v>0.35000000000000003</v>
      </c>
      <c r="D15" s="21">
        <f aca="true" t="shared" si="1" ref="D15:L15">IF(D11&lt;&gt;0,MAX(D11:D13)-MIN(D11:D13),"")</f>
        <v>0.12</v>
      </c>
      <c r="E15" s="21">
        <f t="shared" si="1"/>
        <v>0.17000000000000015</v>
      </c>
      <c r="F15" s="21">
        <f t="shared" si="1"/>
        <v>0.17000000000000004</v>
      </c>
      <c r="G15" s="21">
        <f t="shared" si="1"/>
        <v>0.12</v>
      </c>
      <c r="H15" s="21">
        <f t="shared" si="1"/>
        <v>0.22999999999999998</v>
      </c>
      <c r="I15" s="21">
        <f t="shared" si="1"/>
        <v>0.16000000000000003</v>
      </c>
      <c r="J15" s="21">
        <f t="shared" si="1"/>
        <v>0.13999999999999999</v>
      </c>
      <c r="K15" s="21">
        <f t="shared" si="1"/>
        <v>0.2699999999999998</v>
      </c>
      <c r="L15" s="21">
        <f t="shared" si="1"/>
        <v>0.1100000000000001</v>
      </c>
      <c r="M15" s="21">
        <f>IF(ISTEXT(C15),"",AVERAGE(C15:L15))</f>
        <v>0.184</v>
      </c>
      <c r="N15" t="s">
        <v>107</v>
      </c>
    </row>
    <row r="17" spans="1:12" ht="12.75">
      <c r="A17" s="185" t="s">
        <v>214</v>
      </c>
      <c r="B17" t="s">
        <v>2</v>
      </c>
      <c r="C17" s="189">
        <v>0.08</v>
      </c>
      <c r="D17" s="189">
        <v>-0.47</v>
      </c>
      <c r="E17" s="189">
        <v>1.19</v>
      </c>
      <c r="F17" s="189">
        <v>0.01</v>
      </c>
      <c r="G17" s="189">
        <v>-0.56</v>
      </c>
      <c r="H17" s="189">
        <v>-0.2</v>
      </c>
      <c r="I17" s="189">
        <v>0.47</v>
      </c>
      <c r="J17" s="189">
        <v>-0.63</v>
      </c>
      <c r="K17" s="189">
        <v>1.8</v>
      </c>
      <c r="L17" s="189">
        <v>-1.68</v>
      </c>
    </row>
    <row r="18" spans="1:12" ht="12.75">
      <c r="A18" s="194"/>
      <c r="B18" t="s">
        <v>102</v>
      </c>
      <c r="C18" s="189">
        <v>0.25</v>
      </c>
      <c r="D18" s="189">
        <v>-1.22</v>
      </c>
      <c r="E18" s="189">
        <v>0.94</v>
      </c>
      <c r="F18" s="189">
        <v>1.03</v>
      </c>
      <c r="G18" s="189">
        <v>-1.2</v>
      </c>
      <c r="H18" s="189">
        <v>0.22</v>
      </c>
      <c r="I18" s="189">
        <v>0.55</v>
      </c>
      <c r="J18" s="189">
        <v>0.08</v>
      </c>
      <c r="K18" s="189">
        <v>2.12</v>
      </c>
      <c r="L18" s="189">
        <v>-1.62</v>
      </c>
    </row>
    <row r="19" spans="1:12" ht="12.75">
      <c r="A19" s="194"/>
      <c r="B19" t="s">
        <v>103</v>
      </c>
      <c r="C19" s="189">
        <v>0.07</v>
      </c>
      <c r="D19" s="189">
        <v>-0.68</v>
      </c>
      <c r="E19" s="189">
        <v>1.34</v>
      </c>
      <c r="F19" s="189">
        <v>0.2</v>
      </c>
      <c r="G19" s="189">
        <v>-1.28</v>
      </c>
      <c r="H19" s="189">
        <v>0.06</v>
      </c>
      <c r="I19" s="189">
        <v>0.83</v>
      </c>
      <c r="J19" s="189">
        <v>-0.34</v>
      </c>
      <c r="K19" s="189">
        <v>2.19</v>
      </c>
      <c r="L19" s="189">
        <v>-1.5</v>
      </c>
    </row>
    <row r="20" spans="1:14" ht="12.75">
      <c r="A20" s="194"/>
      <c r="B20" t="s">
        <v>108</v>
      </c>
      <c r="C20" s="21">
        <f>IF(C17&lt;&gt;0,AVERAGE(C17:C19),"")</f>
        <v>0.13333333333333333</v>
      </c>
      <c r="D20" s="21">
        <f aca="true" t="shared" si="2" ref="D20:L20">IF(D17&lt;&gt;0,AVERAGE(D17:D19),"")</f>
        <v>-0.79</v>
      </c>
      <c r="E20" s="21">
        <f t="shared" si="2"/>
        <v>1.1566666666666665</v>
      </c>
      <c r="F20" s="21">
        <f t="shared" si="2"/>
        <v>0.41333333333333333</v>
      </c>
      <c r="G20" s="21">
        <f t="shared" si="2"/>
        <v>-1.0133333333333334</v>
      </c>
      <c r="H20" s="21">
        <f t="shared" si="2"/>
        <v>0.02666666666666666</v>
      </c>
      <c r="I20" s="21">
        <f t="shared" si="2"/>
        <v>0.6166666666666667</v>
      </c>
      <c r="J20" s="21">
        <f t="shared" si="2"/>
        <v>-0.2966666666666667</v>
      </c>
      <c r="K20" s="21">
        <f t="shared" si="2"/>
        <v>2.0366666666666666</v>
      </c>
      <c r="L20" s="21">
        <f t="shared" si="2"/>
        <v>-1.5999999999999999</v>
      </c>
      <c r="M20" s="21">
        <f>IF(ISTEXT(C20),"",AVERAGE(C20:L20))</f>
        <v>0.06833333333333329</v>
      </c>
      <c r="N20" t="s">
        <v>112</v>
      </c>
    </row>
    <row r="21" spans="1:14" ht="12.75">
      <c r="A21" s="194"/>
      <c r="B21" t="s">
        <v>109</v>
      </c>
      <c r="C21" s="21">
        <f>IF(C17&lt;&gt;0,MAX(C17:C19)-MIN(C17:C19),"")</f>
        <v>0.18</v>
      </c>
      <c r="D21" s="21">
        <f aca="true" t="shared" si="3" ref="D21:L21">IF(D17&lt;&gt;0,MAX(D17:D19)-MIN(D17:D19),"")</f>
        <v>0.75</v>
      </c>
      <c r="E21" s="21">
        <f t="shared" si="3"/>
        <v>0.40000000000000013</v>
      </c>
      <c r="F21" s="21">
        <f t="shared" si="3"/>
        <v>1.02</v>
      </c>
      <c r="G21" s="21">
        <f t="shared" si="3"/>
        <v>0.72</v>
      </c>
      <c r="H21" s="21">
        <f t="shared" si="3"/>
        <v>0.42000000000000004</v>
      </c>
      <c r="I21" s="21">
        <f t="shared" si="3"/>
        <v>0.36</v>
      </c>
      <c r="J21" s="21">
        <f t="shared" si="3"/>
        <v>0.71</v>
      </c>
      <c r="K21" s="21">
        <f t="shared" si="3"/>
        <v>0.3899999999999999</v>
      </c>
      <c r="L21" s="21">
        <f t="shared" si="3"/>
        <v>0.17999999999999994</v>
      </c>
      <c r="M21" s="21">
        <f>IF(ISTEXT(C21),"",AVERAGE(C21:L21))</f>
        <v>0.513</v>
      </c>
      <c r="N21" t="s">
        <v>113</v>
      </c>
    </row>
    <row r="23" spans="1:12" ht="12.75">
      <c r="A23" s="185" t="s">
        <v>215</v>
      </c>
      <c r="B23" t="s">
        <v>2</v>
      </c>
      <c r="C23" s="189">
        <v>0.04</v>
      </c>
      <c r="D23" s="189">
        <v>-1.38</v>
      </c>
      <c r="E23" s="189">
        <v>0.88</v>
      </c>
      <c r="F23" s="189">
        <v>0.14</v>
      </c>
      <c r="G23" s="189">
        <v>-1.46</v>
      </c>
      <c r="H23" s="189">
        <v>-0.29</v>
      </c>
      <c r="I23" s="189">
        <v>0.02</v>
      </c>
      <c r="J23" s="189">
        <v>-0.46</v>
      </c>
      <c r="K23" s="189">
        <v>1.77</v>
      </c>
      <c r="L23" s="189">
        <v>-1.49</v>
      </c>
    </row>
    <row r="24" spans="1:12" ht="12.75">
      <c r="A24" s="194"/>
      <c r="B24" t="s">
        <v>102</v>
      </c>
      <c r="C24" s="189">
        <v>-0.11</v>
      </c>
      <c r="D24" s="189">
        <v>-1.13</v>
      </c>
      <c r="E24" s="189">
        <v>1.09</v>
      </c>
      <c r="F24" s="189">
        <v>0.2</v>
      </c>
      <c r="G24" s="189">
        <v>-1.07</v>
      </c>
      <c r="H24" s="189">
        <v>-0.67</v>
      </c>
      <c r="I24" s="189">
        <v>0.01</v>
      </c>
      <c r="J24" s="189">
        <v>-0.56</v>
      </c>
      <c r="K24" s="189">
        <v>1.45</v>
      </c>
      <c r="L24" s="189">
        <v>-1.77</v>
      </c>
    </row>
    <row r="25" spans="1:12" ht="12.75">
      <c r="A25" s="194"/>
      <c r="B25" t="s">
        <v>103</v>
      </c>
      <c r="C25" s="189">
        <v>-0.15</v>
      </c>
      <c r="D25" s="189">
        <v>-0.96</v>
      </c>
      <c r="E25" s="189">
        <v>0.67</v>
      </c>
      <c r="F25" s="189">
        <v>0.11</v>
      </c>
      <c r="G25" s="189">
        <v>-1.45</v>
      </c>
      <c r="H25" s="189">
        <v>-0.49</v>
      </c>
      <c r="I25" s="189">
        <v>0.21</v>
      </c>
      <c r="J25" s="189">
        <v>-0.49</v>
      </c>
      <c r="K25" s="189">
        <v>1.87</v>
      </c>
      <c r="L25" s="189">
        <v>-2.16</v>
      </c>
    </row>
    <row r="26" spans="1:14" ht="12.75">
      <c r="A26" s="194"/>
      <c r="B26" t="s">
        <v>110</v>
      </c>
      <c r="C26" s="21">
        <f>IF(C23&lt;&gt;0,AVERAGE(C23:C25),"")</f>
        <v>-0.07333333333333333</v>
      </c>
      <c r="D26" s="21">
        <f aca="true" t="shared" si="4" ref="D26:L26">IF(D23&lt;&gt;0,AVERAGE(D23:D25),"")</f>
        <v>-1.1566666666666665</v>
      </c>
      <c r="E26" s="21">
        <f t="shared" si="4"/>
        <v>0.88</v>
      </c>
      <c r="F26" s="21">
        <f t="shared" si="4"/>
        <v>0.15</v>
      </c>
      <c r="G26" s="21">
        <f t="shared" si="4"/>
        <v>-1.3266666666666669</v>
      </c>
      <c r="H26" s="21">
        <f t="shared" si="4"/>
        <v>-0.48333333333333334</v>
      </c>
      <c r="I26" s="21">
        <f t="shared" si="4"/>
        <v>0.08</v>
      </c>
      <c r="J26" s="21">
        <f t="shared" si="4"/>
        <v>-0.5033333333333333</v>
      </c>
      <c r="K26" s="21">
        <f t="shared" si="4"/>
        <v>1.6966666666666665</v>
      </c>
      <c r="L26" s="21">
        <f t="shared" si="4"/>
        <v>-1.8066666666666666</v>
      </c>
      <c r="M26" s="21">
        <f>IF(ISTEXT(C26),"",AVERAGE(C26:L26))</f>
        <v>-0.2543333333333333</v>
      </c>
      <c r="N26" t="s">
        <v>114</v>
      </c>
    </row>
    <row r="27" spans="1:14" ht="12.75">
      <c r="A27" s="194"/>
      <c r="B27" t="s">
        <v>111</v>
      </c>
      <c r="C27" s="21">
        <f>IF(C23&lt;&gt;0,MAX(C23:C25)-MIN(C23:C25),"")</f>
        <v>0.19</v>
      </c>
      <c r="D27" s="21">
        <f aca="true" t="shared" si="5" ref="D27:L27">IF(D23&lt;&gt;0,MAX(D23:D25)-MIN(D23:D25),"")</f>
        <v>0.41999999999999993</v>
      </c>
      <c r="E27" s="21">
        <f t="shared" si="5"/>
        <v>0.42000000000000004</v>
      </c>
      <c r="F27" s="21">
        <f t="shared" si="5"/>
        <v>0.09000000000000001</v>
      </c>
      <c r="G27" s="21">
        <f t="shared" si="5"/>
        <v>0.3899999999999999</v>
      </c>
      <c r="H27" s="21">
        <f t="shared" si="5"/>
        <v>0.38000000000000006</v>
      </c>
      <c r="I27" s="21">
        <f t="shared" si="5"/>
        <v>0.19999999999999998</v>
      </c>
      <c r="J27" s="21">
        <f t="shared" si="5"/>
        <v>0.10000000000000003</v>
      </c>
      <c r="K27" s="21">
        <f t="shared" si="5"/>
        <v>0.42000000000000015</v>
      </c>
      <c r="L27" s="21">
        <f t="shared" si="5"/>
        <v>0.6700000000000002</v>
      </c>
      <c r="M27" s="21">
        <f>IF(ISTEXT(C27),"",AVERAGE(C27:L27))</f>
        <v>0.328</v>
      </c>
      <c r="N27" t="s">
        <v>115</v>
      </c>
    </row>
    <row r="29" spans="1:14" ht="14.25">
      <c r="A29" s="226" t="s">
        <v>116</v>
      </c>
      <c r="B29" s="226"/>
      <c r="C29" s="21">
        <f>IF(ISERROR(AVERAGE(C11:C13,C17:C19,C23:C25)),"",AVERAGE(C14,C20,C26))</f>
        <v>0.16888888888888887</v>
      </c>
      <c r="D29" s="21">
        <f aca="true" t="shared" si="6" ref="D29:L29">IF(ISERROR(AVERAGE(D11:D13,D17:D19,D23:D25)),"",AVERAGE(D14,D20,D26))</f>
        <v>-0.8511111111111113</v>
      </c>
      <c r="E29" s="21">
        <f t="shared" si="6"/>
        <v>1.0988888888888888</v>
      </c>
      <c r="F29" s="21">
        <f t="shared" si="6"/>
        <v>0.36666666666666664</v>
      </c>
      <c r="G29" s="21">
        <f t="shared" si="6"/>
        <v>-1.0644444444444445</v>
      </c>
      <c r="H29" s="21">
        <f t="shared" si="6"/>
        <v>-0.18555555555555556</v>
      </c>
      <c r="I29" s="21">
        <f t="shared" si="6"/>
        <v>0.45444444444444443</v>
      </c>
      <c r="J29" s="21">
        <f t="shared" si="6"/>
        <v>-0.34222222222222226</v>
      </c>
      <c r="K29" s="21">
        <f t="shared" si="6"/>
        <v>1.9399999999999997</v>
      </c>
      <c r="L29" s="21">
        <f t="shared" si="6"/>
        <v>-1.571111111111111</v>
      </c>
      <c r="M29" s="21">
        <f>IF(ISTEXT(C29),"",MAX(C29:L29)-MIN(C29:L29))</f>
        <v>3.5111111111111106</v>
      </c>
      <c r="N29" t="s">
        <v>117</v>
      </c>
    </row>
    <row r="30" spans="1:12" ht="12.75">
      <c r="A30" s="226" t="s">
        <v>124</v>
      </c>
      <c r="B30" s="226"/>
      <c r="D30">
        <v>0.7071</v>
      </c>
      <c r="E30">
        <v>0.5231</v>
      </c>
      <c r="F30">
        <v>0.4467</v>
      </c>
      <c r="G30">
        <v>0.403</v>
      </c>
      <c r="H30">
        <v>0.3742</v>
      </c>
      <c r="I30">
        <v>0.3534</v>
      </c>
      <c r="J30">
        <v>0.3375</v>
      </c>
      <c r="K30">
        <v>0.3249</v>
      </c>
      <c r="L30">
        <v>0.3146</v>
      </c>
    </row>
    <row r="31" spans="1:12" ht="12.75">
      <c r="A31" s="192" t="s">
        <v>9</v>
      </c>
      <c r="B31" s="89"/>
      <c r="C31" s="190">
        <f aca="true" t="shared" si="7" ref="C31:L31">$B$35</f>
        <v>0.8815000000000002</v>
      </c>
      <c r="D31" s="190">
        <f t="shared" si="7"/>
        <v>0.8815000000000002</v>
      </c>
      <c r="E31" s="190">
        <f t="shared" si="7"/>
        <v>0.8815000000000002</v>
      </c>
      <c r="F31" s="190">
        <f t="shared" si="7"/>
        <v>0.8815000000000002</v>
      </c>
      <c r="G31" s="190">
        <f t="shared" si="7"/>
        <v>0.8815000000000002</v>
      </c>
      <c r="H31" s="190">
        <f t="shared" si="7"/>
        <v>0.8815000000000002</v>
      </c>
      <c r="I31" s="190">
        <f t="shared" si="7"/>
        <v>0.8815000000000002</v>
      </c>
      <c r="J31" s="190">
        <f t="shared" si="7"/>
        <v>0.8815000000000002</v>
      </c>
      <c r="K31" s="190">
        <f t="shared" si="7"/>
        <v>0.8815000000000002</v>
      </c>
      <c r="L31" s="190">
        <f t="shared" si="7"/>
        <v>0.8815000000000002</v>
      </c>
    </row>
    <row r="32" spans="1:12" ht="12.75">
      <c r="A32" s="192" t="s">
        <v>12</v>
      </c>
      <c r="C32" s="191">
        <f aca="true" t="shared" si="8" ref="C32:L32">$B$36</f>
        <v>0</v>
      </c>
      <c r="D32" s="191">
        <f t="shared" si="8"/>
        <v>0</v>
      </c>
      <c r="E32" s="191">
        <f t="shared" si="8"/>
        <v>0</v>
      </c>
      <c r="F32" s="191">
        <f t="shared" si="8"/>
        <v>0</v>
      </c>
      <c r="G32" s="191">
        <f t="shared" si="8"/>
        <v>0</v>
      </c>
      <c r="H32" s="191">
        <f t="shared" si="8"/>
        <v>0</v>
      </c>
      <c r="I32" s="191">
        <f t="shared" si="8"/>
        <v>0</v>
      </c>
      <c r="J32" s="191">
        <f t="shared" si="8"/>
        <v>0</v>
      </c>
      <c r="K32" s="191">
        <f t="shared" si="8"/>
        <v>0</v>
      </c>
      <c r="L32" s="191">
        <f t="shared" si="8"/>
        <v>0</v>
      </c>
    </row>
    <row r="33" spans="1:8" ht="24" customHeight="1">
      <c r="A33" s="90" t="s">
        <v>118</v>
      </c>
      <c r="B33" s="21">
        <f>IF(ISTEXT(M15),"",AVERAGE(M15,M21,M27))</f>
        <v>0.34166666666666673</v>
      </c>
      <c r="D33" s="99" t="s">
        <v>3</v>
      </c>
      <c r="E33" s="100"/>
      <c r="F33" s="100"/>
      <c r="G33" s="100"/>
      <c r="H33" s="101"/>
    </row>
    <row r="34" spans="1:11" ht="14.25">
      <c r="A34" t="s">
        <v>119</v>
      </c>
      <c r="B34" s="21">
        <f>IF(ISTEXT(M14),"",MAX(M14,M20,M26)-MIN(M14,M20,M26))</f>
        <v>0.44466666666666654</v>
      </c>
      <c r="D34" s="94" t="s">
        <v>4</v>
      </c>
      <c r="E34" s="93" t="s">
        <v>5</v>
      </c>
      <c r="F34" s="93" t="s">
        <v>6</v>
      </c>
      <c r="G34" s="93" t="s">
        <v>7</v>
      </c>
      <c r="H34" s="95" t="s">
        <v>8</v>
      </c>
      <c r="I34" s="22"/>
      <c r="K34" s="20" t="s">
        <v>11</v>
      </c>
    </row>
    <row r="35" spans="1:11" ht="12.75">
      <c r="A35" t="s">
        <v>9</v>
      </c>
      <c r="B35">
        <f>IF(ISTEXT(B33),"",(B33*F35))</f>
        <v>0.8815000000000002</v>
      </c>
      <c r="D35" s="94">
        <v>2.11</v>
      </c>
      <c r="E35" s="93">
        <v>2.28</v>
      </c>
      <c r="F35" s="93">
        <v>2.58</v>
      </c>
      <c r="G35" s="93">
        <v>3.27</v>
      </c>
      <c r="H35" s="95" t="s">
        <v>10</v>
      </c>
      <c r="I35" s="22"/>
      <c r="K35" s="20" t="s">
        <v>14</v>
      </c>
    </row>
    <row r="36" spans="1:11" ht="12.75">
      <c r="A36" t="s">
        <v>12</v>
      </c>
      <c r="B36">
        <v>0</v>
      </c>
      <c r="D36" s="94">
        <v>0</v>
      </c>
      <c r="E36" s="93">
        <v>0</v>
      </c>
      <c r="F36" s="93">
        <v>0</v>
      </c>
      <c r="G36" s="93">
        <v>0</v>
      </c>
      <c r="H36" s="95" t="s">
        <v>13</v>
      </c>
      <c r="I36" s="22"/>
      <c r="K36" s="20" t="s">
        <v>17</v>
      </c>
    </row>
    <row r="37" spans="1:11" ht="12.75">
      <c r="A37" t="s">
        <v>15</v>
      </c>
      <c r="B37" s="21">
        <f>(B33*IF(ISBLANK(C19:L19),G37,F37))</f>
        <v>0.2018566666666667</v>
      </c>
      <c r="D37" s="94"/>
      <c r="E37" s="93"/>
      <c r="F37" s="93">
        <v>0.5908</v>
      </c>
      <c r="G37" s="93">
        <v>0.8862</v>
      </c>
      <c r="H37" s="95" t="s">
        <v>16</v>
      </c>
      <c r="I37" s="22"/>
      <c r="K37" s="20" t="s">
        <v>20</v>
      </c>
    </row>
    <row r="38" spans="1:9" ht="12.75">
      <c r="A38" t="s">
        <v>18</v>
      </c>
      <c r="B38" s="21">
        <f>IF(ISTEXT(B34),"",SQRT((B34*IF(ISBLANK(C13:L13),D38,E38))^2-((B37)^2/(F42*G42))))</f>
        <v>0.22966702910320372</v>
      </c>
      <c r="D38" s="94">
        <v>0.7071</v>
      </c>
      <c r="E38" s="93">
        <v>0.5231</v>
      </c>
      <c r="F38" s="93"/>
      <c r="G38" s="93"/>
      <c r="H38" s="95" t="s">
        <v>19</v>
      </c>
      <c r="I38" s="22"/>
    </row>
    <row r="39" spans="1:9" ht="12.75">
      <c r="A39" t="s">
        <v>120</v>
      </c>
      <c r="B39" s="21">
        <f>IF(ISBLANK(B37),"",SQRT((B37)^2+(B38)^2))</f>
        <v>0.3057663456544386</v>
      </c>
      <c r="D39" s="96" t="s">
        <v>21</v>
      </c>
      <c r="E39" s="97" t="s">
        <v>132</v>
      </c>
      <c r="F39" s="97"/>
      <c r="G39" s="97"/>
      <c r="H39" s="98"/>
      <c r="I39" s="22"/>
    </row>
    <row r="40" spans="1:2" ht="12.75">
      <c r="A40" t="s">
        <v>131</v>
      </c>
      <c r="B40">
        <f>B5-B6</f>
        <v>1</v>
      </c>
    </row>
    <row r="41" spans="1:7" ht="12.75">
      <c r="A41" t="s">
        <v>121</v>
      </c>
      <c r="B41" s="21">
        <f>IF(ISBLANK(M29),"",M29*INDEX(C30:L30,1,(COUNT(C11:L11))))</f>
        <v>1.1045955555555553</v>
      </c>
      <c r="F41" s="102" t="s">
        <v>22</v>
      </c>
      <c r="G41" s="103" t="s">
        <v>23</v>
      </c>
    </row>
    <row r="42" spans="1:7" ht="12.75">
      <c r="A42" t="s">
        <v>122</v>
      </c>
      <c r="B42" s="21">
        <f>IF(ISBLANK(B39),"",SQRT(B39^2+B41^2))</f>
        <v>1.146134546852138</v>
      </c>
      <c r="F42" s="96">
        <f>COUNT(C11:L11)</f>
        <v>10</v>
      </c>
      <c r="G42" s="98">
        <f>COUNT(C11:C13)</f>
        <v>3</v>
      </c>
    </row>
    <row r="43" spans="1:2" ht="12.75">
      <c r="A43" t="s">
        <v>123</v>
      </c>
      <c r="B43" s="91">
        <f>IF(ISBLANK(B39),"",1.41*(B41/B39))</f>
        <v>5.09369247292348</v>
      </c>
    </row>
    <row r="45" spans="2:3" ht="24.75" customHeight="1">
      <c r="B45" s="90" t="s">
        <v>129</v>
      </c>
      <c r="C45" s="90" t="s">
        <v>130</v>
      </c>
    </row>
    <row r="46" spans="1:3" ht="12.75">
      <c r="A46" t="s">
        <v>125</v>
      </c>
      <c r="B46" s="92">
        <f>IF(ISBLANK(B37),"",B37/B42)</f>
        <v>0.1761195203661443</v>
      </c>
      <c r="C46" s="92">
        <f>IF(ISBLANK(B37),"",B37/B40)</f>
        <v>0.2018566666666667</v>
      </c>
    </row>
    <row r="47" spans="1:3" ht="12.75">
      <c r="A47" t="s">
        <v>126</v>
      </c>
      <c r="B47" s="92">
        <f>IF(ISBLANK(B38),"",B38/B42)</f>
        <v>0.20038400354826133</v>
      </c>
      <c r="C47" s="92">
        <f>IF(ISBLANK(B38),"",B38/B40)</f>
        <v>0.22966702910320372</v>
      </c>
    </row>
    <row r="48" spans="1:3" ht="12.75">
      <c r="A48" t="s">
        <v>127</v>
      </c>
      <c r="B48" s="92">
        <f>IF(ISBLANK(B39),"",B39/B42)</f>
        <v>0.26678049841026674</v>
      </c>
      <c r="C48" s="92">
        <f>IF(ISBLANK(B39),"",B39/B40)</f>
        <v>0.3057663456544386</v>
      </c>
    </row>
    <row r="49" spans="1:3" ht="12.75">
      <c r="A49" t="s">
        <v>128</v>
      </c>
      <c r="B49" s="92">
        <f>IF(ISBLANK(B41),"",B41/B42)</f>
        <v>0.9637573167908867</v>
      </c>
      <c r="C49" s="92">
        <f>IF(ISBLANK(B41),"",B41/B40)</f>
        <v>1.1045955555555553</v>
      </c>
    </row>
    <row r="51" spans="1:2" ht="15.75">
      <c r="A51" s="104" t="s">
        <v>63</v>
      </c>
      <c r="B51" s="104" t="str">
        <f>IF($C$48&lt;0.1,"Gage System Okay",IF($C$48&lt;=0.3,"Gage system may be acceptable based on importance of application and cost","Gage system needs improvement"))</f>
        <v>Gage system needs improvement</v>
      </c>
    </row>
    <row r="54" spans="1:2" ht="12.75">
      <c r="A54" s="25" t="s">
        <v>134</v>
      </c>
      <c r="B54" t="s">
        <v>133</v>
      </c>
    </row>
    <row r="55" ht="12.75">
      <c r="B55" t="s">
        <v>24</v>
      </c>
    </row>
  </sheetData>
  <sheetProtection selectLockedCells="1"/>
  <mergeCells count="9">
    <mergeCell ref="A1:P1"/>
    <mergeCell ref="B3:D3"/>
    <mergeCell ref="H3:J3"/>
    <mergeCell ref="B4:D4"/>
    <mergeCell ref="H4:J4"/>
    <mergeCell ref="B5:D5"/>
    <mergeCell ref="H5:J5"/>
    <mergeCell ref="A29:B29"/>
    <mergeCell ref="A30:B30"/>
  </mergeCells>
  <printOptions horizontalCentered="1"/>
  <pageMargins left="0.25" right="0.25" top="0.75" bottom="0.75" header="0.5" footer="0.5"/>
  <pageSetup horizontalDpi="600" verticalDpi="600" orientation="landscape" scale="96" r:id="rId4"/>
  <headerFooter alignWithMargins="0">
    <oddFooter>&amp;LForm xxx  Rev. A  08-Jul-03</oddFooter>
  </headerFooter>
  <rowBreaks count="1" manualBreakCount="1">
    <brk id="32" max="255" man="1"/>
  </rowBreaks>
  <drawing r:id="rId3"/>
  <legacyDrawing r:id="rId2"/>
</worksheet>
</file>

<file path=xl/worksheets/sheet4.xml><?xml version="1.0" encoding="utf-8"?>
<worksheet xmlns="http://schemas.openxmlformats.org/spreadsheetml/2006/main" xmlns:r="http://schemas.openxmlformats.org/officeDocument/2006/relationships">
  <dimension ref="A1:P43"/>
  <sheetViews>
    <sheetView zoomScale="75" zoomScaleNormal="75" workbookViewId="0" topLeftCell="A1">
      <selection activeCell="A1" sqref="A1:O1"/>
    </sheetView>
  </sheetViews>
  <sheetFormatPr defaultColWidth="9.140625" defaultRowHeight="12.75"/>
  <cols>
    <col min="16" max="16" width="11.00390625" style="0" customWidth="1"/>
    <col min="17" max="17" width="3.57421875" style="0" customWidth="1"/>
  </cols>
  <sheetData>
    <row r="1" spans="1:16" s="1" customFormat="1" ht="27.75">
      <c r="A1" s="227" t="s">
        <v>227</v>
      </c>
      <c r="B1" s="227"/>
      <c r="C1" s="227"/>
      <c r="D1" s="227"/>
      <c r="E1" s="227"/>
      <c r="F1" s="227"/>
      <c r="G1" s="227"/>
      <c r="H1" s="227"/>
      <c r="I1" s="227"/>
      <c r="J1" s="227"/>
      <c r="K1" s="227"/>
      <c r="L1" s="227"/>
      <c r="M1" s="227"/>
      <c r="N1" s="227"/>
      <c r="O1" s="227"/>
      <c r="P1" s="26"/>
    </row>
    <row r="2" spans="1:16" s="1" customFormat="1" ht="38.25" customHeight="1">
      <c r="A2" s="28"/>
      <c r="B2" s="28"/>
      <c r="C2" s="28"/>
      <c r="D2" s="28"/>
      <c r="E2" s="28"/>
      <c r="F2" s="28"/>
      <c r="G2" s="28"/>
      <c r="H2" s="28"/>
      <c r="I2" s="28"/>
      <c r="J2" s="28"/>
      <c r="K2" s="28"/>
      <c r="L2" s="28"/>
      <c r="M2" s="28"/>
      <c r="N2" s="28"/>
      <c r="O2" s="28"/>
      <c r="P2" s="26"/>
    </row>
    <row r="3" spans="1:16" s="1" customFormat="1" ht="21" customHeight="1">
      <c r="A3" s="34"/>
      <c r="B3" s="34"/>
      <c r="C3" s="35" t="s">
        <v>88</v>
      </c>
      <c r="D3" s="34"/>
      <c r="E3" s="34"/>
      <c r="F3" s="34"/>
      <c r="G3" s="34"/>
      <c r="H3" s="34"/>
      <c r="I3" s="34"/>
      <c r="J3" s="28"/>
      <c r="K3" s="28"/>
      <c r="L3" s="28"/>
      <c r="M3" s="28"/>
      <c r="N3" s="28"/>
      <c r="O3" s="28"/>
      <c r="P3" s="26"/>
    </row>
    <row r="4" spans="1:16" s="1" customFormat="1" ht="13.5" customHeight="1">
      <c r="A4" s="34"/>
      <c r="B4" s="34"/>
      <c r="C4" s="35"/>
      <c r="D4" s="34"/>
      <c r="E4" s="34"/>
      <c r="F4" s="34"/>
      <c r="G4" s="34"/>
      <c r="H4" s="34"/>
      <c r="I4" s="34"/>
      <c r="J4" s="28"/>
      <c r="K4" s="28"/>
      <c r="L4" s="28"/>
      <c r="M4" s="28"/>
      <c r="N4" s="28"/>
      <c r="O4" s="28"/>
      <c r="P4" s="26"/>
    </row>
    <row r="5" spans="2:16" s="1" customFormat="1" ht="21" customHeight="1">
      <c r="B5" s="34"/>
      <c r="C5" s="4" t="s">
        <v>89</v>
      </c>
      <c r="D5" s="34"/>
      <c r="E5" s="34"/>
      <c r="F5" s="34"/>
      <c r="G5" s="34"/>
      <c r="H5" s="34"/>
      <c r="I5" s="34"/>
      <c r="J5" s="28"/>
      <c r="K5" s="28"/>
      <c r="L5" s="28"/>
      <c r="M5" s="28"/>
      <c r="N5" s="28"/>
      <c r="O5" s="28"/>
      <c r="P5" s="26"/>
    </row>
    <row r="6" s="1" customFormat="1" ht="15"/>
    <row r="7" spans="3:16" s="1" customFormat="1" ht="21" customHeight="1">
      <c r="C7" s="8" t="s">
        <v>25</v>
      </c>
      <c r="D7" s="203"/>
      <c r="E7" s="203"/>
      <c r="F7" s="203"/>
      <c r="H7" s="8" t="s">
        <v>27</v>
      </c>
      <c r="I7" s="203"/>
      <c r="J7" s="203"/>
      <c r="K7" s="203"/>
      <c r="M7" s="8" t="s">
        <v>32</v>
      </c>
      <c r="N7" s="203"/>
      <c r="O7" s="203"/>
      <c r="P7" s="203"/>
    </row>
    <row r="8" spans="3:16" s="1" customFormat="1" ht="21" customHeight="1">
      <c r="C8" s="8" t="s">
        <v>26</v>
      </c>
      <c r="D8" s="204"/>
      <c r="E8" s="204"/>
      <c r="F8" s="204"/>
      <c r="H8" s="8" t="s">
        <v>28</v>
      </c>
      <c r="I8" s="204"/>
      <c r="J8" s="204"/>
      <c r="K8" s="204"/>
      <c r="M8" s="8" t="s">
        <v>31</v>
      </c>
      <c r="N8" s="204"/>
      <c r="O8" s="204"/>
      <c r="P8" s="204"/>
    </row>
    <row r="9" spans="3:11" s="1" customFormat="1" ht="21" customHeight="1">
      <c r="C9" s="8"/>
      <c r="D9" s="208"/>
      <c r="E9" s="208"/>
      <c r="F9" s="208"/>
      <c r="H9" s="8" t="s">
        <v>29</v>
      </c>
      <c r="I9" s="204"/>
      <c r="J9" s="204"/>
      <c r="K9" s="204"/>
    </row>
    <row r="10" s="1" customFormat="1" ht="21" customHeight="1"/>
    <row r="11" spans="4:7" s="1" customFormat="1" ht="21" customHeight="1">
      <c r="D11" s="13" t="s">
        <v>33</v>
      </c>
      <c r="E11" s="173"/>
      <c r="F11" s="31"/>
      <c r="G11" s="5" t="s">
        <v>87</v>
      </c>
    </row>
    <row r="12" s="1" customFormat="1" ht="21" customHeight="1"/>
    <row r="13" s="1" customFormat="1" ht="21" customHeight="1">
      <c r="C13" s="4" t="s">
        <v>34</v>
      </c>
    </row>
    <row r="14" s="1" customFormat="1" ht="21" customHeight="1"/>
    <row r="15" spans="4:6" s="1" customFormat="1" ht="21" customHeight="1">
      <c r="D15" s="8">
        <v>1</v>
      </c>
      <c r="E15" s="206"/>
      <c r="F15" s="206"/>
    </row>
    <row r="16" spans="4:6" s="1" customFormat="1" ht="21" customHeight="1">
      <c r="D16" s="8">
        <v>2</v>
      </c>
      <c r="E16" s="205"/>
      <c r="F16" s="205"/>
    </row>
    <row r="17" spans="4:6" s="1" customFormat="1" ht="21" customHeight="1">
      <c r="D17" s="8">
        <v>3</v>
      </c>
      <c r="E17" s="205"/>
      <c r="F17" s="205"/>
    </row>
    <row r="18" spans="4:6" s="1" customFormat="1" ht="21" customHeight="1">
      <c r="D18" s="8">
        <v>4</v>
      </c>
      <c r="E18" s="205"/>
      <c r="F18" s="205"/>
    </row>
    <row r="19" spans="4:6" s="1" customFormat="1" ht="21" customHeight="1">
      <c r="D19" s="8">
        <v>5</v>
      </c>
      <c r="E19" s="205"/>
      <c r="F19" s="205"/>
    </row>
    <row r="20" spans="4:6" s="1" customFormat="1" ht="21" customHeight="1">
      <c r="D20" s="8">
        <v>6</v>
      </c>
      <c r="E20" s="205"/>
      <c r="F20" s="205"/>
    </row>
    <row r="21" spans="4:6" s="1" customFormat="1" ht="21" customHeight="1">
      <c r="D21" s="8">
        <v>7</v>
      </c>
      <c r="E21" s="205"/>
      <c r="F21" s="205"/>
    </row>
    <row r="22" spans="4:6" s="1" customFormat="1" ht="21" customHeight="1">
      <c r="D22" s="8">
        <v>8</v>
      </c>
      <c r="E22" s="205"/>
      <c r="F22" s="205"/>
    </row>
    <row r="23" spans="4:6" s="1" customFormat="1" ht="21" customHeight="1">
      <c r="D23" s="8">
        <v>9</v>
      </c>
      <c r="E23" s="205"/>
      <c r="F23" s="205"/>
    </row>
    <row r="24" spans="4:6" s="1" customFormat="1" ht="21" customHeight="1">
      <c r="D24" s="8">
        <v>10</v>
      </c>
      <c r="E24" s="205"/>
      <c r="F24" s="205"/>
    </row>
    <row r="25" spans="4:6" s="1" customFormat="1" ht="21" customHeight="1">
      <c r="D25" s="8">
        <v>11</v>
      </c>
      <c r="E25" s="205"/>
      <c r="F25" s="205"/>
    </row>
    <row r="26" spans="4:6" s="1" customFormat="1" ht="21" customHeight="1">
      <c r="D26" s="8">
        <v>12</v>
      </c>
      <c r="E26" s="205"/>
      <c r="F26" s="205"/>
    </row>
    <row r="27" spans="4:6" s="1" customFormat="1" ht="21" customHeight="1">
      <c r="D27" s="8">
        <v>13</v>
      </c>
      <c r="E27" s="205"/>
      <c r="F27" s="205"/>
    </row>
    <row r="28" spans="4:6" s="1" customFormat="1" ht="21" customHeight="1">
      <c r="D28" s="8">
        <v>14</v>
      </c>
      <c r="E28" s="205"/>
      <c r="F28" s="205"/>
    </row>
    <row r="29" spans="4:6" s="1" customFormat="1" ht="21" customHeight="1">
      <c r="D29" s="8">
        <v>15</v>
      </c>
      <c r="E29" s="205"/>
      <c r="F29" s="205"/>
    </row>
    <row r="30" spans="5:6" s="1" customFormat="1" ht="21" customHeight="1">
      <c r="E30" s="11"/>
      <c r="F30" s="11"/>
    </row>
    <row r="31" spans="4:6" s="17" customFormat="1" ht="21" customHeight="1">
      <c r="D31" s="18" t="s">
        <v>35</v>
      </c>
      <c r="E31" s="207" t="e">
        <f>AVERAGE(E15:F29)</f>
        <v>#DIV/0!</v>
      </c>
      <c r="F31" s="207"/>
    </row>
    <row r="32" s="1" customFormat="1" ht="21" customHeight="1"/>
    <row r="33" spans="3:9" s="1" customFormat="1" ht="21" customHeight="1">
      <c r="C33" s="19" t="s">
        <v>37</v>
      </c>
      <c r="D33" s="15" t="s">
        <v>36</v>
      </c>
      <c r="E33" s="207" t="e">
        <f>E31-E11</f>
        <v>#DIV/0!</v>
      </c>
      <c r="F33" s="207"/>
      <c r="G33" s="32" t="e">
        <f>IF(AND(D41&lt;0,D42&gt;0),"Bias is Acceptable","Bias is NOT Acceptable")</f>
        <v>#DIV/0!</v>
      </c>
      <c r="H33" s="33"/>
      <c r="I33" s="33"/>
    </row>
    <row r="34" s="1" customFormat="1" ht="21" customHeight="1"/>
    <row r="35" s="1" customFormat="1" ht="21" customHeight="1"/>
    <row r="36" s="1" customFormat="1" ht="21" customHeight="1"/>
    <row r="37" spans="3:4" ht="21" customHeight="1">
      <c r="C37" s="23" t="s">
        <v>57</v>
      </c>
      <c r="D37" s="24">
        <f>(MAX(E15:F29)-MIN(E15:F29))/3.55333</f>
        <v>0</v>
      </c>
    </row>
    <row r="38" spans="3:4" ht="21" customHeight="1">
      <c r="C38" s="23" t="s">
        <v>58</v>
      </c>
      <c r="D38" s="24">
        <f>D37/SQRT(15)</f>
        <v>0</v>
      </c>
    </row>
    <row r="39" spans="3:4" ht="21" customHeight="1">
      <c r="C39" s="23" t="s">
        <v>59</v>
      </c>
      <c r="D39" t="e">
        <f>E33/D38</f>
        <v>#DIV/0!</v>
      </c>
    </row>
    <row r="40" spans="3:4" ht="21" customHeight="1">
      <c r="C40" s="23" t="s">
        <v>60</v>
      </c>
      <c r="D40">
        <v>2.206</v>
      </c>
    </row>
    <row r="41" spans="3:4" ht="21" customHeight="1">
      <c r="C41" s="23" t="s">
        <v>62</v>
      </c>
      <c r="D41" s="21" t="e">
        <f>E33-3.4193*D38/3.55333*D40</f>
        <v>#DIV/0!</v>
      </c>
    </row>
    <row r="42" spans="3:4" ht="21" customHeight="1">
      <c r="C42" s="23" t="s">
        <v>61</v>
      </c>
      <c r="D42" s="21" t="e">
        <f>E33+3.47193*D38/3.55333*D40</f>
        <v>#DIV/0!</v>
      </c>
    </row>
    <row r="43" ht="12.75">
      <c r="C43" s="23"/>
    </row>
  </sheetData>
  <sheetProtection/>
  <mergeCells count="26">
    <mergeCell ref="E22:F22"/>
    <mergeCell ref="E17:F17"/>
    <mergeCell ref="E18:F18"/>
    <mergeCell ref="D7:F7"/>
    <mergeCell ref="D8:F8"/>
    <mergeCell ref="D9:F9"/>
    <mergeCell ref="E21:F21"/>
    <mergeCell ref="E29:F29"/>
    <mergeCell ref="E33:F33"/>
    <mergeCell ref="E23:F23"/>
    <mergeCell ref="E24:F24"/>
    <mergeCell ref="E31:F31"/>
    <mergeCell ref="E25:F25"/>
    <mergeCell ref="E26:F26"/>
    <mergeCell ref="E27:F27"/>
    <mergeCell ref="E28:F28"/>
    <mergeCell ref="A1:O1"/>
    <mergeCell ref="N7:P7"/>
    <mergeCell ref="N8:P8"/>
    <mergeCell ref="E20:F20"/>
    <mergeCell ref="I7:K7"/>
    <mergeCell ref="I8:K8"/>
    <mergeCell ref="I9:K9"/>
    <mergeCell ref="E19:F19"/>
    <mergeCell ref="E15:F15"/>
    <mergeCell ref="E16:F16"/>
  </mergeCells>
  <printOptions horizontalCentered="1"/>
  <pageMargins left="0.5" right="0.5" top="1" bottom="1" header="0.5" footer="0.5"/>
  <pageSetup horizontalDpi="300" verticalDpi="300" orientation="portrait" scale="62" r:id="rId1"/>
  <headerFooter alignWithMargins="0">
    <oddFooter>&amp;LForm 827  Rev. A  08-Jul-03</oddFooter>
  </headerFooter>
</worksheet>
</file>

<file path=xl/worksheets/sheet5.xml><?xml version="1.0" encoding="utf-8"?>
<worksheet xmlns="http://schemas.openxmlformats.org/spreadsheetml/2006/main" xmlns:r="http://schemas.openxmlformats.org/officeDocument/2006/relationships">
  <dimension ref="A1:P43"/>
  <sheetViews>
    <sheetView zoomScale="75" zoomScaleNormal="75" workbookViewId="0" topLeftCell="A1">
      <selection activeCell="E3" sqref="E3"/>
    </sheetView>
  </sheetViews>
  <sheetFormatPr defaultColWidth="9.140625" defaultRowHeight="12.75"/>
  <cols>
    <col min="5" max="5" width="9.8515625" style="0" customWidth="1"/>
    <col min="6" max="6" width="8.421875" style="0" customWidth="1"/>
    <col min="16" max="16" width="11.00390625" style="0" customWidth="1"/>
    <col min="17" max="17" width="4.421875" style="0" customWidth="1"/>
  </cols>
  <sheetData>
    <row r="1" spans="1:16" s="1" customFormat="1" ht="27.75">
      <c r="A1" s="227" t="s">
        <v>227</v>
      </c>
      <c r="B1" s="227"/>
      <c r="C1" s="227"/>
      <c r="D1" s="227"/>
      <c r="E1" s="227"/>
      <c r="F1" s="227"/>
      <c r="G1" s="227"/>
      <c r="H1" s="227"/>
      <c r="I1" s="227"/>
      <c r="J1" s="227"/>
      <c r="K1" s="227"/>
      <c r="L1" s="227"/>
      <c r="M1" s="227"/>
      <c r="N1" s="227"/>
      <c r="O1" s="227"/>
      <c r="P1" s="26"/>
    </row>
    <row r="2" spans="1:16" s="1" customFormat="1" ht="26.25" customHeight="1">
      <c r="A2" s="28"/>
      <c r="B2" s="28"/>
      <c r="C2" s="28"/>
      <c r="D2" s="28"/>
      <c r="E2" s="28"/>
      <c r="F2" s="28"/>
      <c r="G2" s="28"/>
      <c r="H2" s="28"/>
      <c r="I2" s="28"/>
      <c r="J2" s="28"/>
      <c r="K2" s="28"/>
      <c r="L2" s="28"/>
      <c r="M2" s="28"/>
      <c r="N2" s="28"/>
      <c r="O2" s="28"/>
      <c r="P2" s="26"/>
    </row>
    <row r="3" spans="1:16" s="1" customFormat="1" ht="21" customHeight="1">
      <c r="A3" s="34"/>
      <c r="B3" s="34"/>
      <c r="C3" s="35" t="s">
        <v>88</v>
      </c>
      <c r="D3" s="34"/>
      <c r="E3" s="34"/>
      <c r="F3" s="34"/>
      <c r="G3" s="34"/>
      <c r="H3" s="34"/>
      <c r="I3" s="34"/>
      <c r="J3" s="28"/>
      <c r="K3" s="28"/>
      <c r="L3" s="28"/>
      <c r="M3" s="28"/>
      <c r="N3" s="28"/>
      <c r="O3" s="28"/>
      <c r="P3" s="26"/>
    </row>
    <row r="4" spans="1:16" s="1" customFormat="1" ht="21" customHeight="1">
      <c r="A4" s="34"/>
      <c r="B4" s="34"/>
      <c r="C4" s="35"/>
      <c r="D4" s="34"/>
      <c r="E4" s="34"/>
      <c r="F4" s="34"/>
      <c r="G4" s="34"/>
      <c r="H4" s="34"/>
      <c r="I4" s="34"/>
      <c r="J4" s="28"/>
      <c r="K4" s="28"/>
      <c r="L4" s="28"/>
      <c r="M4" s="28"/>
      <c r="N4" s="28"/>
      <c r="O4" s="28"/>
      <c r="P4" s="26"/>
    </row>
    <row r="5" spans="2:16" s="1" customFormat="1" ht="21" customHeight="1">
      <c r="B5" s="34"/>
      <c r="C5" s="4" t="s">
        <v>89</v>
      </c>
      <c r="D5" s="34"/>
      <c r="E5" s="34"/>
      <c r="F5" s="34"/>
      <c r="G5" s="34"/>
      <c r="H5" s="34"/>
      <c r="I5" s="34"/>
      <c r="J5" s="28"/>
      <c r="K5" s="28"/>
      <c r="L5" s="28"/>
      <c r="M5" s="28"/>
      <c r="N5" s="28"/>
      <c r="O5" s="28"/>
      <c r="P5" s="26"/>
    </row>
    <row r="6" s="1" customFormat="1" ht="21" customHeight="1"/>
    <row r="7" spans="3:16" s="1" customFormat="1" ht="21" customHeight="1">
      <c r="C7" s="8" t="s">
        <v>25</v>
      </c>
      <c r="D7" s="210"/>
      <c r="E7" s="210"/>
      <c r="F7" s="210"/>
      <c r="H7" s="8" t="s">
        <v>27</v>
      </c>
      <c r="I7" s="210"/>
      <c r="J7" s="210"/>
      <c r="K7" s="210"/>
      <c r="M7" s="8" t="s">
        <v>32</v>
      </c>
      <c r="N7" s="210"/>
      <c r="O7" s="210"/>
      <c r="P7" s="210"/>
    </row>
    <row r="8" spans="3:16" s="1" customFormat="1" ht="21" customHeight="1">
      <c r="C8" s="8" t="s">
        <v>26</v>
      </c>
      <c r="D8" s="195"/>
      <c r="E8" s="195"/>
      <c r="F8" s="195"/>
      <c r="H8" s="8" t="s">
        <v>28</v>
      </c>
      <c r="I8" s="195"/>
      <c r="J8" s="195"/>
      <c r="K8" s="195"/>
      <c r="M8" s="8" t="s">
        <v>31</v>
      </c>
      <c r="N8" s="195"/>
      <c r="O8" s="195"/>
      <c r="P8" s="195"/>
    </row>
    <row r="9" spans="3:11" s="1" customFormat="1" ht="21" customHeight="1">
      <c r="C9" s="8"/>
      <c r="D9" s="208"/>
      <c r="E9" s="208"/>
      <c r="F9" s="208"/>
      <c r="H9" s="8" t="s">
        <v>29</v>
      </c>
      <c r="I9" s="195"/>
      <c r="J9" s="195"/>
      <c r="K9" s="195"/>
    </row>
    <row r="10" s="1" customFormat="1" ht="21" customHeight="1"/>
    <row r="11" spans="4:7" s="1" customFormat="1" ht="21" customHeight="1">
      <c r="D11" s="13" t="s">
        <v>33</v>
      </c>
      <c r="E11" s="30">
        <v>6</v>
      </c>
      <c r="F11" s="31"/>
      <c r="G11" s="5" t="s">
        <v>87</v>
      </c>
    </row>
    <row r="12" s="1" customFormat="1" ht="21" customHeight="1"/>
    <row r="13" s="1" customFormat="1" ht="21" customHeight="1">
      <c r="C13" s="4" t="s">
        <v>34</v>
      </c>
    </row>
    <row r="14" s="1" customFormat="1" ht="21" customHeight="1"/>
    <row r="15" spans="4:6" s="1" customFormat="1" ht="21" customHeight="1">
      <c r="D15" s="8">
        <v>1</v>
      </c>
      <c r="E15" s="196">
        <v>5.8</v>
      </c>
      <c r="F15" s="196"/>
    </row>
    <row r="16" spans="4:6" s="1" customFormat="1" ht="21" customHeight="1">
      <c r="D16" s="8">
        <v>2</v>
      </c>
      <c r="E16" s="209">
        <v>5.7</v>
      </c>
      <c r="F16" s="209"/>
    </row>
    <row r="17" spans="4:6" s="1" customFormat="1" ht="21" customHeight="1">
      <c r="D17" s="8">
        <v>3</v>
      </c>
      <c r="E17" s="209">
        <v>5.9</v>
      </c>
      <c r="F17" s="209"/>
    </row>
    <row r="18" spans="4:6" s="1" customFormat="1" ht="21" customHeight="1">
      <c r="D18" s="8">
        <v>4</v>
      </c>
      <c r="E18" s="209">
        <v>5.9</v>
      </c>
      <c r="F18" s="209"/>
    </row>
    <row r="19" spans="4:6" s="1" customFormat="1" ht="21" customHeight="1">
      <c r="D19" s="8">
        <v>5</v>
      </c>
      <c r="E19" s="209">
        <v>6</v>
      </c>
      <c r="F19" s="209"/>
    </row>
    <row r="20" spans="4:6" s="1" customFormat="1" ht="21" customHeight="1">
      <c r="D20" s="8">
        <v>6</v>
      </c>
      <c r="E20" s="209">
        <v>6.1</v>
      </c>
      <c r="F20" s="209"/>
    </row>
    <row r="21" spans="4:6" s="1" customFormat="1" ht="21" customHeight="1">
      <c r="D21" s="8">
        <v>7</v>
      </c>
      <c r="E21" s="209">
        <v>6</v>
      </c>
      <c r="F21" s="209"/>
    </row>
    <row r="22" spans="4:6" s="1" customFormat="1" ht="21" customHeight="1">
      <c r="D22" s="8">
        <v>8</v>
      </c>
      <c r="E22" s="209">
        <v>6.1</v>
      </c>
      <c r="F22" s="209"/>
    </row>
    <row r="23" spans="4:6" s="1" customFormat="1" ht="21" customHeight="1">
      <c r="D23" s="8">
        <v>9</v>
      </c>
      <c r="E23" s="209">
        <v>6.4</v>
      </c>
      <c r="F23" s="209"/>
    </row>
    <row r="24" spans="4:6" s="1" customFormat="1" ht="21" customHeight="1">
      <c r="D24" s="8">
        <v>10</v>
      </c>
      <c r="E24" s="209">
        <v>6.3</v>
      </c>
      <c r="F24" s="209"/>
    </row>
    <row r="25" spans="4:6" s="1" customFormat="1" ht="21" customHeight="1">
      <c r="D25" s="8">
        <v>11</v>
      </c>
      <c r="E25" s="209">
        <v>6</v>
      </c>
      <c r="F25" s="209"/>
    </row>
    <row r="26" spans="4:6" s="1" customFormat="1" ht="21" customHeight="1">
      <c r="D26" s="8">
        <v>12</v>
      </c>
      <c r="E26" s="209">
        <v>6.1</v>
      </c>
      <c r="F26" s="209"/>
    </row>
    <row r="27" spans="4:6" s="1" customFormat="1" ht="21" customHeight="1">
      <c r="D27" s="8">
        <v>13</v>
      </c>
      <c r="E27" s="209">
        <v>6.2</v>
      </c>
      <c r="F27" s="209"/>
    </row>
    <row r="28" spans="4:6" s="1" customFormat="1" ht="21" customHeight="1">
      <c r="D28" s="8">
        <v>14</v>
      </c>
      <c r="E28" s="209">
        <v>5.6</v>
      </c>
      <c r="F28" s="209"/>
    </row>
    <row r="29" spans="4:6" s="1" customFormat="1" ht="21" customHeight="1">
      <c r="D29" s="8">
        <v>15</v>
      </c>
      <c r="E29" s="209">
        <v>6</v>
      </c>
      <c r="F29" s="209"/>
    </row>
    <row r="30" spans="5:6" s="1" customFormat="1" ht="21" customHeight="1">
      <c r="E30" s="11"/>
      <c r="F30" s="11"/>
    </row>
    <row r="31" spans="4:6" s="17" customFormat="1" ht="21" customHeight="1">
      <c r="D31" s="18" t="s">
        <v>35</v>
      </c>
      <c r="E31" s="207">
        <f>AVERAGE(E15:F29)</f>
        <v>6.006666666666665</v>
      </c>
      <c r="F31" s="207"/>
    </row>
    <row r="32" s="1" customFormat="1" ht="21" customHeight="1"/>
    <row r="33" spans="3:9" s="1" customFormat="1" ht="21" customHeight="1">
      <c r="C33" s="19" t="s">
        <v>37</v>
      </c>
      <c r="D33" s="15" t="s">
        <v>36</v>
      </c>
      <c r="E33" s="207">
        <f>E31-E11</f>
        <v>0.006666666666665044</v>
      </c>
      <c r="F33" s="207"/>
      <c r="G33" s="32" t="str">
        <f>IF(AND(D41&lt;0,D42&gt;0),"Bias is Acceptable","Bias is NOT Acceptable")</f>
        <v>Bias is Acceptable</v>
      </c>
      <c r="H33" s="33"/>
      <c r="I33" s="33"/>
    </row>
    <row r="34" s="1" customFormat="1" ht="21" customHeight="1"/>
    <row r="35" s="1" customFormat="1" ht="21" customHeight="1"/>
    <row r="36" s="1" customFormat="1" ht="21" customHeight="1"/>
    <row r="37" spans="3:4" ht="21" customHeight="1">
      <c r="C37" s="23" t="s">
        <v>57</v>
      </c>
      <c r="D37" s="24">
        <f>(MAX(E15:F29)-MIN(E15:F29))/3.55333</f>
        <v>0.2251409241472086</v>
      </c>
    </row>
    <row r="38" spans="3:4" ht="21" customHeight="1">
      <c r="C38" s="23" t="s">
        <v>58</v>
      </c>
      <c r="D38" s="24">
        <f>D37/SQRT(15)</f>
        <v>0.058131136651459074</v>
      </c>
    </row>
    <row r="39" spans="3:4" ht="21" customHeight="1">
      <c r="C39" s="23" t="s">
        <v>59</v>
      </c>
      <c r="D39">
        <f>E33/D38</f>
        <v>0.114683232613132</v>
      </c>
    </row>
    <row r="40" spans="3:4" ht="21" customHeight="1">
      <c r="C40" s="23" t="s">
        <v>60</v>
      </c>
      <c r="D40">
        <v>2.206</v>
      </c>
    </row>
    <row r="41" spans="3:4" ht="21" customHeight="1">
      <c r="C41" s="23" t="s">
        <v>62</v>
      </c>
      <c r="D41" s="21">
        <f>E33-3.4193*D38/3.55333*D40</f>
        <v>-0.11673356832092373</v>
      </c>
    </row>
    <row r="42" spans="3:4" ht="21" customHeight="1">
      <c r="C42" s="23" t="s">
        <v>61</v>
      </c>
      <c r="D42" s="21">
        <f>E33+3.47193*D38/3.55333*D40</f>
        <v>0.1319662829215883</v>
      </c>
    </row>
    <row r="43" ht="12.75">
      <c r="C43" s="23"/>
    </row>
  </sheetData>
  <sheetProtection/>
  <mergeCells count="26">
    <mergeCell ref="A1:O1"/>
    <mergeCell ref="N7:P7"/>
    <mergeCell ref="N8:P8"/>
    <mergeCell ref="E20:F20"/>
    <mergeCell ref="I7:K7"/>
    <mergeCell ref="I8:K8"/>
    <mergeCell ref="I9:K9"/>
    <mergeCell ref="E19:F19"/>
    <mergeCell ref="E15:F15"/>
    <mergeCell ref="E16:F16"/>
    <mergeCell ref="E29:F29"/>
    <mergeCell ref="E33:F33"/>
    <mergeCell ref="E23:F23"/>
    <mergeCell ref="E24:F24"/>
    <mergeCell ref="E31:F31"/>
    <mergeCell ref="E25:F25"/>
    <mergeCell ref="E26:F26"/>
    <mergeCell ref="E27:F27"/>
    <mergeCell ref="E28:F28"/>
    <mergeCell ref="E22:F22"/>
    <mergeCell ref="E17:F17"/>
    <mergeCell ref="E18:F18"/>
    <mergeCell ref="D7:F7"/>
    <mergeCell ref="D8:F8"/>
    <mergeCell ref="D9:F9"/>
    <mergeCell ref="E21:F21"/>
  </mergeCells>
  <printOptions horizontalCentered="1"/>
  <pageMargins left="0.5" right="0.5" top="1" bottom="1" header="0.5" footer="0.5"/>
  <pageSetup horizontalDpi="300" verticalDpi="300" orientation="portrait" scale="62" r:id="rId1"/>
  <headerFooter alignWithMargins="0">
    <oddFooter>&amp;LForm 827  Rev. A  08-Jul-03</oddFooter>
  </headerFooter>
</worksheet>
</file>

<file path=xl/worksheets/sheet6.xml><?xml version="1.0" encoding="utf-8"?>
<worksheet xmlns="http://schemas.openxmlformats.org/spreadsheetml/2006/main" xmlns:r="http://schemas.openxmlformats.org/officeDocument/2006/relationships">
  <dimension ref="A1:V144"/>
  <sheetViews>
    <sheetView zoomScale="80" zoomScaleNormal="80" zoomScaleSheetLayoutView="80" workbookViewId="0" topLeftCell="A1">
      <selection activeCell="C5" sqref="C5:E5"/>
    </sheetView>
  </sheetViews>
  <sheetFormatPr defaultColWidth="9.140625" defaultRowHeight="12.75"/>
  <cols>
    <col min="1" max="1" width="9.8515625" style="36" customWidth="1"/>
    <col min="2" max="3" width="9.140625" style="36" customWidth="1"/>
    <col min="4" max="4" width="7.28125" style="36" customWidth="1"/>
    <col min="5" max="5" width="9.140625" style="36" customWidth="1"/>
    <col min="6" max="6" width="8.57421875" style="36" customWidth="1"/>
    <col min="7" max="8" width="7.421875" style="36" customWidth="1"/>
    <col min="9" max="9" width="7.00390625" style="36" customWidth="1"/>
    <col min="10" max="10" width="8.57421875" style="36" customWidth="1"/>
    <col min="11" max="11" width="7.00390625" style="36" customWidth="1"/>
    <col min="12" max="12" width="8.140625" style="36" customWidth="1"/>
    <col min="13" max="13" width="8.00390625" style="36" customWidth="1"/>
    <col min="14" max="14" width="9.140625" style="36" customWidth="1"/>
    <col min="15" max="15" width="8.7109375" style="36" customWidth="1"/>
    <col min="16" max="16" width="17.8515625" style="36" bestFit="1" customWidth="1"/>
    <col min="17" max="20" width="9.140625" style="36" customWidth="1"/>
    <col min="21" max="21" width="15.7109375" style="36" customWidth="1"/>
    <col min="22" max="22" width="16.8515625" style="36" customWidth="1"/>
    <col min="23" max="16384" width="9.140625" style="36" customWidth="1"/>
  </cols>
  <sheetData>
    <row r="1" spans="1:16" ht="18">
      <c r="A1" s="250" t="s">
        <v>228</v>
      </c>
      <c r="B1" s="226"/>
      <c r="C1" s="226"/>
      <c r="D1" s="226"/>
      <c r="E1" s="226"/>
      <c r="F1" s="226"/>
      <c r="G1" s="226"/>
      <c r="H1" s="226"/>
      <c r="I1" s="226"/>
      <c r="J1" s="226"/>
      <c r="K1" s="226"/>
      <c r="L1" s="226"/>
      <c r="M1" s="226"/>
      <c r="N1" s="226"/>
      <c r="O1" s="226"/>
      <c r="P1" s="61"/>
    </row>
    <row r="2" spans="1:16" ht="22.5" customHeight="1">
      <c r="A2" s="60"/>
      <c r="B2" s="60"/>
      <c r="C2" s="60"/>
      <c r="D2" s="60"/>
      <c r="E2" s="60"/>
      <c r="F2" s="60"/>
      <c r="G2" s="60"/>
      <c r="H2" s="60"/>
      <c r="I2" s="60"/>
      <c r="J2" s="60"/>
      <c r="K2" s="60"/>
      <c r="L2" s="60"/>
      <c r="M2" s="60"/>
      <c r="N2" s="60"/>
      <c r="P2" s="61"/>
    </row>
    <row r="3" ht="15.75" customHeight="1">
      <c r="A3" s="36" t="s">
        <v>95</v>
      </c>
    </row>
    <row r="4" ht="15.75" customHeight="1"/>
    <row r="5" spans="2:15" ht="15.75" customHeight="1">
      <c r="B5" s="62" t="s">
        <v>96</v>
      </c>
      <c r="C5" s="240"/>
      <c r="D5" s="240"/>
      <c r="E5" s="240"/>
      <c r="G5" s="62" t="s">
        <v>27</v>
      </c>
      <c r="H5" s="240"/>
      <c r="I5" s="240"/>
      <c r="J5" s="240"/>
      <c r="L5" s="62" t="s">
        <v>32</v>
      </c>
      <c r="M5" s="172"/>
      <c r="N5" s="63"/>
      <c r="O5" s="63"/>
    </row>
    <row r="6" spans="2:15" ht="15.75" customHeight="1">
      <c r="B6" s="62" t="s">
        <v>26</v>
      </c>
      <c r="C6" s="241"/>
      <c r="D6" s="241"/>
      <c r="E6" s="241"/>
      <c r="G6" s="62" t="s">
        <v>28</v>
      </c>
      <c r="H6" s="241"/>
      <c r="I6" s="241"/>
      <c r="J6" s="241"/>
      <c r="L6" s="62" t="s">
        <v>31</v>
      </c>
      <c r="M6" s="171"/>
      <c r="N6" s="49"/>
      <c r="O6" s="49"/>
    </row>
    <row r="7" spans="2:10" ht="15.75" customHeight="1">
      <c r="B7" s="62" t="s">
        <v>38</v>
      </c>
      <c r="C7" s="241"/>
      <c r="D7" s="241"/>
      <c r="E7" s="241"/>
      <c r="G7" s="62" t="s">
        <v>29</v>
      </c>
      <c r="H7" s="241"/>
      <c r="I7" s="241"/>
      <c r="J7" s="241"/>
    </row>
    <row r="8" ht="15.75" customHeight="1" thickBot="1"/>
    <row r="9" spans="1:13" ht="15.75" customHeight="1">
      <c r="A9" s="64"/>
      <c r="B9" s="65" t="s">
        <v>39</v>
      </c>
      <c r="C9" s="66"/>
      <c r="D9" s="238">
        <v>1</v>
      </c>
      <c r="E9" s="239"/>
      <c r="F9" s="244">
        <v>2</v>
      </c>
      <c r="G9" s="244"/>
      <c r="H9" s="238">
        <v>3</v>
      </c>
      <c r="I9" s="239"/>
      <c r="J9" s="244">
        <v>4</v>
      </c>
      <c r="K9" s="244"/>
      <c r="L9" s="238">
        <v>5</v>
      </c>
      <c r="M9" s="239"/>
    </row>
    <row r="10" spans="1:13" ht="15.75" customHeight="1">
      <c r="A10" s="67" t="s">
        <v>85</v>
      </c>
      <c r="B10" s="60">
        <f>COUNT(D10:M10)</f>
        <v>0</v>
      </c>
      <c r="C10" s="68"/>
      <c r="D10" s="245"/>
      <c r="E10" s="246"/>
      <c r="F10" s="247"/>
      <c r="G10" s="247"/>
      <c r="H10" s="245"/>
      <c r="I10" s="246"/>
      <c r="J10" s="247"/>
      <c r="K10" s="247"/>
      <c r="L10" s="245"/>
      <c r="M10" s="246"/>
    </row>
    <row r="11" spans="1:13" ht="15.75" customHeight="1" thickBot="1">
      <c r="A11" s="70"/>
      <c r="B11" s="71"/>
      <c r="C11" s="71"/>
      <c r="D11" s="70"/>
      <c r="E11" s="72"/>
      <c r="F11" s="71"/>
      <c r="G11" s="71"/>
      <c r="H11" s="70"/>
      <c r="I11" s="72"/>
      <c r="J11" s="71"/>
      <c r="K11" s="71"/>
      <c r="L11" s="70"/>
      <c r="M11" s="72"/>
    </row>
    <row r="12" spans="2:13" ht="15.75" customHeight="1">
      <c r="B12" s="62" t="s">
        <v>97</v>
      </c>
      <c r="C12" s="62">
        <v>1</v>
      </c>
      <c r="D12" s="242"/>
      <c r="E12" s="243"/>
      <c r="F12" s="249"/>
      <c r="G12" s="249"/>
      <c r="H12" s="242"/>
      <c r="I12" s="243"/>
      <c r="J12" s="249"/>
      <c r="K12" s="249"/>
      <c r="L12" s="242"/>
      <c r="M12" s="243"/>
    </row>
    <row r="13" spans="1:13" ht="15.75" customHeight="1">
      <c r="A13" s="62" t="s">
        <v>86</v>
      </c>
      <c r="B13" s="60">
        <f>COUNT(C12:C23)</f>
        <v>12</v>
      </c>
      <c r="C13" s="62">
        <v>2</v>
      </c>
      <c r="D13" s="202"/>
      <c r="E13" s="233"/>
      <c r="F13" s="197"/>
      <c r="G13" s="197"/>
      <c r="H13" s="202"/>
      <c r="I13" s="233"/>
      <c r="J13" s="197"/>
      <c r="K13" s="197"/>
      <c r="L13" s="202"/>
      <c r="M13" s="233"/>
    </row>
    <row r="14" spans="3:13" ht="15.75" customHeight="1">
      <c r="C14" s="62">
        <v>3</v>
      </c>
      <c r="D14" s="202"/>
      <c r="E14" s="233"/>
      <c r="F14" s="197"/>
      <c r="G14" s="197"/>
      <c r="H14" s="202"/>
      <c r="I14" s="233"/>
      <c r="J14" s="197"/>
      <c r="K14" s="197"/>
      <c r="L14" s="202"/>
      <c r="M14" s="233"/>
    </row>
    <row r="15" spans="3:13" ht="15.75" customHeight="1">
      <c r="C15" s="62">
        <v>4</v>
      </c>
      <c r="D15" s="202"/>
      <c r="E15" s="233"/>
      <c r="F15" s="197"/>
      <c r="G15" s="197"/>
      <c r="H15" s="202"/>
      <c r="I15" s="233"/>
      <c r="J15" s="197"/>
      <c r="K15" s="197"/>
      <c r="L15" s="202"/>
      <c r="M15" s="233"/>
    </row>
    <row r="16" spans="3:22" ht="15.75" customHeight="1">
      <c r="C16" s="62">
        <v>5</v>
      </c>
      <c r="D16" s="202"/>
      <c r="E16" s="233"/>
      <c r="F16" s="197"/>
      <c r="G16" s="197"/>
      <c r="H16" s="202"/>
      <c r="I16" s="233"/>
      <c r="J16" s="197"/>
      <c r="K16" s="197"/>
      <c r="L16" s="202"/>
      <c r="M16" s="233"/>
      <c r="O16" s="73"/>
      <c r="V16" s="74"/>
    </row>
    <row r="17" spans="3:13" ht="15.75" customHeight="1">
      <c r="C17" s="62">
        <v>6</v>
      </c>
      <c r="D17" s="202"/>
      <c r="E17" s="233"/>
      <c r="F17" s="197"/>
      <c r="G17" s="197"/>
      <c r="H17" s="202"/>
      <c r="I17" s="233"/>
      <c r="J17" s="197"/>
      <c r="K17" s="197"/>
      <c r="L17" s="202"/>
      <c r="M17" s="233"/>
    </row>
    <row r="18" spans="3:13" ht="15.75" customHeight="1">
      <c r="C18" s="62">
        <v>7</v>
      </c>
      <c r="D18" s="202"/>
      <c r="E18" s="233"/>
      <c r="F18" s="197"/>
      <c r="G18" s="197"/>
      <c r="H18" s="202"/>
      <c r="I18" s="233"/>
      <c r="J18" s="197"/>
      <c r="K18" s="197"/>
      <c r="L18" s="202"/>
      <c r="M18" s="233"/>
    </row>
    <row r="19" spans="3:13" ht="15.75" customHeight="1">
      <c r="C19" s="62">
        <v>8</v>
      </c>
      <c r="D19" s="202"/>
      <c r="E19" s="233"/>
      <c r="F19" s="197"/>
      <c r="G19" s="197"/>
      <c r="H19" s="202"/>
      <c r="I19" s="233"/>
      <c r="J19" s="197"/>
      <c r="K19" s="197"/>
      <c r="L19" s="202"/>
      <c r="M19" s="233"/>
    </row>
    <row r="20" spans="3:13" ht="15.75" customHeight="1">
      <c r="C20" s="62">
        <v>9</v>
      </c>
      <c r="D20" s="202"/>
      <c r="E20" s="233"/>
      <c r="F20" s="197"/>
      <c r="G20" s="197"/>
      <c r="H20" s="202"/>
      <c r="I20" s="233"/>
      <c r="J20" s="197"/>
      <c r="K20" s="197"/>
      <c r="L20" s="202"/>
      <c r="M20" s="233"/>
    </row>
    <row r="21" spans="3:16" ht="15.75" customHeight="1">
      <c r="C21" s="62">
        <v>10</v>
      </c>
      <c r="D21" s="202"/>
      <c r="E21" s="233"/>
      <c r="F21" s="197"/>
      <c r="G21" s="197"/>
      <c r="H21" s="202"/>
      <c r="I21" s="233"/>
      <c r="J21" s="197"/>
      <c r="K21" s="197"/>
      <c r="L21" s="202"/>
      <c r="M21" s="233"/>
      <c r="O21" s="60"/>
      <c r="P21" s="60"/>
    </row>
    <row r="22" spans="3:13" ht="15.75" customHeight="1">
      <c r="C22" s="62">
        <v>11</v>
      </c>
      <c r="D22" s="202"/>
      <c r="E22" s="233"/>
      <c r="F22" s="197"/>
      <c r="G22" s="197"/>
      <c r="H22" s="202"/>
      <c r="I22" s="233"/>
      <c r="J22" s="197"/>
      <c r="K22" s="197"/>
      <c r="L22" s="202"/>
      <c r="M22" s="233"/>
    </row>
    <row r="23" spans="3:13" ht="15.75" customHeight="1">
      <c r="C23" s="62">
        <v>12</v>
      </c>
      <c r="D23" s="202"/>
      <c r="E23" s="233"/>
      <c r="F23" s="197"/>
      <c r="G23" s="197"/>
      <c r="H23" s="202"/>
      <c r="I23" s="233"/>
      <c r="J23" s="197"/>
      <c r="K23" s="197"/>
      <c r="L23" s="202"/>
      <c r="M23" s="233"/>
    </row>
    <row r="24" spans="3:15" ht="15.75" customHeight="1">
      <c r="C24" s="62"/>
      <c r="D24" s="54"/>
      <c r="E24" s="55"/>
      <c r="F24" s="69"/>
      <c r="G24" s="69"/>
      <c r="H24" s="54"/>
      <c r="I24" s="55"/>
      <c r="J24" s="69"/>
      <c r="K24" s="69"/>
      <c r="L24" s="54"/>
      <c r="M24" s="55"/>
      <c r="O24" s="60"/>
    </row>
    <row r="25" spans="3:16" ht="15.75" customHeight="1">
      <c r="C25" s="62" t="s">
        <v>35</v>
      </c>
      <c r="D25" s="234">
        <f>SUM(D12:D23)/12</f>
        <v>0</v>
      </c>
      <c r="E25" s="235"/>
      <c r="F25" s="198">
        <f>SUM(F12:F23)/12</f>
        <v>0</v>
      </c>
      <c r="G25" s="198"/>
      <c r="H25" s="234">
        <f>SUM(H12:H23)/12</f>
        <v>0</v>
      </c>
      <c r="I25" s="235"/>
      <c r="J25" s="198">
        <f>SUM(J12:J23)/12</f>
        <v>0</v>
      </c>
      <c r="K25" s="198"/>
      <c r="L25" s="234">
        <f>SUM(L12:L23)/12</f>
        <v>0</v>
      </c>
      <c r="M25" s="235"/>
      <c r="O25" s="73"/>
      <c r="P25" s="75"/>
    </row>
    <row r="26" spans="4:13" ht="15.75" customHeight="1">
      <c r="D26" s="76"/>
      <c r="E26" s="77"/>
      <c r="F26" s="73"/>
      <c r="G26" s="73"/>
      <c r="H26" s="76"/>
      <c r="I26" s="77"/>
      <c r="J26" s="73"/>
      <c r="K26" s="73"/>
      <c r="L26" s="76"/>
      <c r="M26" s="77"/>
    </row>
    <row r="27" spans="3:13" ht="15.75" customHeight="1">
      <c r="C27" s="62">
        <v>1</v>
      </c>
      <c r="D27" s="200">
        <f aca="true" t="shared" si="0" ref="D27:D38">D12-D$10</f>
        <v>0</v>
      </c>
      <c r="E27" s="201"/>
      <c r="F27" s="200">
        <f aca="true" t="shared" si="1" ref="F27:F38">F12-F$10</f>
        <v>0</v>
      </c>
      <c r="G27" s="201"/>
      <c r="H27" s="200">
        <f aca="true" t="shared" si="2" ref="H27:H38">H12-H$10</f>
        <v>0</v>
      </c>
      <c r="I27" s="201"/>
      <c r="J27" s="200">
        <f aca="true" t="shared" si="3" ref="J27:J38">J12-J$10</f>
        <v>0</v>
      </c>
      <c r="K27" s="201"/>
      <c r="L27" s="200">
        <f aca="true" t="shared" si="4" ref="L27:L38">L12-L$10</f>
        <v>0</v>
      </c>
      <c r="M27" s="201"/>
    </row>
    <row r="28" spans="3:15" ht="15.75" customHeight="1">
      <c r="C28" s="62">
        <v>2</v>
      </c>
      <c r="D28" s="200">
        <f t="shared" si="0"/>
        <v>0</v>
      </c>
      <c r="E28" s="201"/>
      <c r="F28" s="200">
        <f t="shared" si="1"/>
        <v>0</v>
      </c>
      <c r="G28" s="201"/>
      <c r="H28" s="200">
        <f t="shared" si="2"/>
        <v>0</v>
      </c>
      <c r="I28" s="201"/>
      <c r="J28" s="200">
        <f t="shared" si="3"/>
        <v>0</v>
      </c>
      <c r="K28" s="201"/>
      <c r="L28" s="200">
        <f t="shared" si="4"/>
        <v>0</v>
      </c>
      <c r="M28" s="201"/>
      <c r="O28" s="60"/>
    </row>
    <row r="29" spans="3:13" ht="15.75" customHeight="1">
      <c r="C29" s="62">
        <v>3</v>
      </c>
      <c r="D29" s="200">
        <f t="shared" si="0"/>
        <v>0</v>
      </c>
      <c r="E29" s="201"/>
      <c r="F29" s="200">
        <f t="shared" si="1"/>
        <v>0</v>
      </c>
      <c r="G29" s="201"/>
      <c r="H29" s="200">
        <f t="shared" si="2"/>
        <v>0</v>
      </c>
      <c r="I29" s="201"/>
      <c r="J29" s="200">
        <f t="shared" si="3"/>
        <v>0</v>
      </c>
      <c r="K29" s="201"/>
      <c r="L29" s="200">
        <f t="shared" si="4"/>
        <v>0</v>
      </c>
      <c r="M29" s="201"/>
    </row>
    <row r="30" spans="3:13" ht="15.75" customHeight="1">
      <c r="C30" s="62">
        <v>4</v>
      </c>
      <c r="D30" s="200">
        <f t="shared" si="0"/>
        <v>0</v>
      </c>
      <c r="E30" s="201"/>
      <c r="F30" s="200">
        <f t="shared" si="1"/>
        <v>0</v>
      </c>
      <c r="G30" s="201"/>
      <c r="H30" s="200">
        <f t="shared" si="2"/>
        <v>0</v>
      </c>
      <c r="I30" s="201"/>
      <c r="J30" s="200">
        <f t="shared" si="3"/>
        <v>0</v>
      </c>
      <c r="K30" s="201"/>
      <c r="L30" s="200">
        <f t="shared" si="4"/>
        <v>0</v>
      </c>
      <c r="M30" s="201"/>
    </row>
    <row r="31" spans="3:15" ht="15.75" customHeight="1">
      <c r="C31" s="62">
        <v>5</v>
      </c>
      <c r="D31" s="200">
        <f t="shared" si="0"/>
        <v>0</v>
      </c>
      <c r="E31" s="201"/>
      <c r="F31" s="200">
        <f t="shared" si="1"/>
        <v>0</v>
      </c>
      <c r="G31" s="201"/>
      <c r="H31" s="200">
        <f t="shared" si="2"/>
        <v>0</v>
      </c>
      <c r="I31" s="201"/>
      <c r="J31" s="200">
        <f t="shared" si="3"/>
        <v>0</v>
      </c>
      <c r="K31" s="201"/>
      <c r="L31" s="200">
        <f t="shared" si="4"/>
        <v>0</v>
      </c>
      <c r="M31" s="201"/>
      <c r="O31" s="62"/>
    </row>
    <row r="32" spans="3:15" ht="15.75" customHeight="1">
      <c r="C32" s="62">
        <v>6</v>
      </c>
      <c r="D32" s="200">
        <f t="shared" si="0"/>
        <v>0</v>
      </c>
      <c r="E32" s="201"/>
      <c r="F32" s="200">
        <f t="shared" si="1"/>
        <v>0</v>
      </c>
      <c r="G32" s="201"/>
      <c r="H32" s="200">
        <f t="shared" si="2"/>
        <v>0</v>
      </c>
      <c r="I32" s="201"/>
      <c r="J32" s="200">
        <f t="shared" si="3"/>
        <v>0</v>
      </c>
      <c r="K32" s="201"/>
      <c r="L32" s="200">
        <f t="shared" si="4"/>
        <v>0</v>
      </c>
      <c r="M32" s="201"/>
      <c r="O32" s="78"/>
    </row>
    <row r="33" spans="3:13" ht="15.75" customHeight="1">
      <c r="C33" s="62">
        <v>7</v>
      </c>
      <c r="D33" s="200">
        <f t="shared" si="0"/>
        <v>0</v>
      </c>
      <c r="E33" s="201"/>
      <c r="F33" s="200">
        <f t="shared" si="1"/>
        <v>0</v>
      </c>
      <c r="G33" s="201"/>
      <c r="H33" s="200">
        <f t="shared" si="2"/>
        <v>0</v>
      </c>
      <c r="I33" s="201"/>
      <c r="J33" s="200">
        <f t="shared" si="3"/>
        <v>0</v>
      </c>
      <c r="K33" s="201"/>
      <c r="L33" s="200">
        <f t="shared" si="4"/>
        <v>0</v>
      </c>
      <c r="M33" s="201"/>
    </row>
    <row r="34" spans="3:16" ht="15.75" customHeight="1">
      <c r="C34" s="62">
        <v>8</v>
      </c>
      <c r="D34" s="200">
        <f t="shared" si="0"/>
        <v>0</v>
      </c>
      <c r="E34" s="201"/>
      <c r="F34" s="200">
        <f t="shared" si="1"/>
        <v>0</v>
      </c>
      <c r="G34" s="201"/>
      <c r="H34" s="200">
        <f t="shared" si="2"/>
        <v>0</v>
      </c>
      <c r="I34" s="201"/>
      <c r="J34" s="200">
        <f t="shared" si="3"/>
        <v>0</v>
      </c>
      <c r="K34" s="201"/>
      <c r="L34" s="200">
        <f t="shared" si="4"/>
        <v>0</v>
      </c>
      <c r="M34" s="201"/>
      <c r="O34" s="60"/>
      <c r="P34" s="60"/>
    </row>
    <row r="35" spans="3:13" ht="15.75" customHeight="1">
      <c r="C35" s="62">
        <v>9</v>
      </c>
      <c r="D35" s="200">
        <f t="shared" si="0"/>
        <v>0</v>
      </c>
      <c r="E35" s="201"/>
      <c r="F35" s="200">
        <f t="shared" si="1"/>
        <v>0</v>
      </c>
      <c r="G35" s="201"/>
      <c r="H35" s="200">
        <f t="shared" si="2"/>
        <v>0</v>
      </c>
      <c r="I35" s="201"/>
      <c r="J35" s="200">
        <f t="shared" si="3"/>
        <v>0</v>
      </c>
      <c r="K35" s="201"/>
      <c r="L35" s="200">
        <f t="shared" si="4"/>
        <v>0</v>
      </c>
      <c r="M35" s="201"/>
    </row>
    <row r="36" spans="3:13" ht="15.75" customHeight="1">
      <c r="C36" s="62">
        <v>10</v>
      </c>
      <c r="D36" s="200">
        <f t="shared" si="0"/>
        <v>0</v>
      </c>
      <c r="E36" s="201"/>
      <c r="F36" s="200">
        <f t="shared" si="1"/>
        <v>0</v>
      </c>
      <c r="G36" s="201"/>
      <c r="H36" s="200">
        <f t="shared" si="2"/>
        <v>0</v>
      </c>
      <c r="I36" s="201"/>
      <c r="J36" s="200">
        <f t="shared" si="3"/>
        <v>0</v>
      </c>
      <c r="K36" s="201"/>
      <c r="L36" s="200">
        <f t="shared" si="4"/>
        <v>0</v>
      </c>
      <c r="M36" s="201"/>
    </row>
    <row r="37" spans="3:13" ht="15.75" customHeight="1">
      <c r="C37" s="62">
        <v>11</v>
      </c>
      <c r="D37" s="200">
        <f t="shared" si="0"/>
        <v>0</v>
      </c>
      <c r="E37" s="201"/>
      <c r="F37" s="200">
        <f t="shared" si="1"/>
        <v>0</v>
      </c>
      <c r="G37" s="201"/>
      <c r="H37" s="200">
        <f t="shared" si="2"/>
        <v>0</v>
      </c>
      <c r="I37" s="201"/>
      <c r="J37" s="200">
        <f t="shared" si="3"/>
        <v>0</v>
      </c>
      <c r="K37" s="201"/>
      <c r="L37" s="200">
        <f t="shared" si="4"/>
        <v>0</v>
      </c>
      <c r="M37" s="201"/>
    </row>
    <row r="38" spans="3:13" ht="15.75" customHeight="1">
      <c r="C38" s="62">
        <v>12</v>
      </c>
      <c r="D38" s="200">
        <f t="shared" si="0"/>
        <v>0</v>
      </c>
      <c r="E38" s="201"/>
      <c r="F38" s="200">
        <f t="shared" si="1"/>
        <v>0</v>
      </c>
      <c r="G38" s="201"/>
      <c r="H38" s="200">
        <f t="shared" si="2"/>
        <v>0</v>
      </c>
      <c r="I38" s="201"/>
      <c r="J38" s="200">
        <f t="shared" si="3"/>
        <v>0</v>
      </c>
      <c r="K38" s="201"/>
      <c r="L38" s="200">
        <f t="shared" si="4"/>
        <v>0</v>
      </c>
      <c r="M38" s="201"/>
    </row>
    <row r="39" spans="4:13" ht="15.75" customHeight="1">
      <c r="D39" s="76"/>
      <c r="E39" s="77"/>
      <c r="F39" s="73"/>
      <c r="G39" s="73"/>
      <c r="H39" s="76"/>
      <c r="I39" s="77"/>
      <c r="J39" s="73"/>
      <c r="K39" s="73"/>
      <c r="L39" s="76"/>
      <c r="M39" s="77"/>
    </row>
    <row r="40" spans="4:13" ht="15.75" customHeight="1">
      <c r="D40" s="79"/>
      <c r="F40" s="79"/>
      <c r="H40" s="79"/>
      <c r="J40" s="79"/>
      <c r="L40" s="79"/>
      <c r="M40" s="80"/>
    </row>
    <row r="41" spans="4:13" ht="15.75" customHeight="1">
      <c r="D41" s="79"/>
      <c r="E41" s="80"/>
      <c r="H41" s="79"/>
      <c r="I41" s="80"/>
      <c r="L41" s="79"/>
      <c r="M41" s="80"/>
    </row>
    <row r="42" spans="3:13" ht="15.75" customHeight="1">
      <c r="C42" s="62" t="s">
        <v>64</v>
      </c>
      <c r="D42" s="234">
        <f>D25-D10</f>
        <v>0</v>
      </c>
      <c r="E42" s="248"/>
      <c r="F42" s="198">
        <f>F25-F10</f>
        <v>0</v>
      </c>
      <c r="G42" s="199"/>
      <c r="H42" s="234">
        <f>H25-H10</f>
        <v>0</v>
      </c>
      <c r="I42" s="248"/>
      <c r="J42" s="198">
        <f>J25-J10</f>
        <v>0</v>
      </c>
      <c r="K42" s="199"/>
      <c r="L42" s="234">
        <f>L25-L10</f>
        <v>0</v>
      </c>
      <c r="M42" s="248"/>
    </row>
    <row r="43" spans="4:21" ht="15.75" customHeight="1">
      <c r="D43" s="79"/>
      <c r="E43" s="80"/>
      <c r="H43" s="79"/>
      <c r="I43" s="80"/>
      <c r="L43" s="79"/>
      <c r="M43" s="80"/>
      <c r="O43" s="73"/>
      <c r="U43" s="73"/>
    </row>
    <row r="44" spans="3:13" ht="15.75" customHeight="1" thickBot="1">
      <c r="C44" s="62" t="s">
        <v>40</v>
      </c>
      <c r="D44" s="236">
        <f>(MAX(D12:D23)-MIN(D12:D23))</f>
        <v>0</v>
      </c>
      <c r="E44" s="237"/>
      <c r="F44" s="236">
        <f>(MAX(F12:F23)-MIN(F12:F23))</f>
        <v>0</v>
      </c>
      <c r="G44" s="237"/>
      <c r="H44" s="236">
        <f>(MAX(H12:H23)-MIN(H12:H23))</f>
        <v>0</v>
      </c>
      <c r="I44" s="237"/>
      <c r="J44" s="236">
        <f>(MAX(J12:J23)-MIN(J12:J23))</f>
        <v>0</v>
      </c>
      <c r="K44" s="237"/>
      <c r="L44" s="236">
        <f>(MAX(L12:L23)-MIN(L12:L23))</f>
        <v>0</v>
      </c>
      <c r="M44" s="237"/>
    </row>
    <row r="47" spans="4:13" ht="12.75">
      <c r="D47" s="62" t="s">
        <v>81</v>
      </c>
      <c r="E47" s="36" t="e">
        <f>(G139-(D139*E139/(B10*B13)))/(J139-(D139^2/(B10*B13)))</f>
        <v>#DIV/0!</v>
      </c>
      <c r="G47" s="36" t="e">
        <f>IF(ABS(F142)&gt;F$144,"Slope is NOT Acceptable","Slope is Acceptable")</f>
        <v>#DIV/0!</v>
      </c>
      <c r="L47" s="62"/>
      <c r="M47" s="81"/>
    </row>
    <row r="48" spans="4:13" ht="12.75">
      <c r="D48" s="62" t="s">
        <v>80</v>
      </c>
      <c r="E48" s="36" t="e">
        <f>(E139-E47*D139)/(B10*B13)</f>
        <v>#DIV/0!</v>
      </c>
      <c r="G48" s="36" t="e">
        <f>IF(ABS(F143)&gt;F$144,"Intercept is NOT Acceptable","Intercept is Acceptable")</f>
        <v>#DIV/0!</v>
      </c>
      <c r="L48" s="62"/>
      <c r="M48" s="81"/>
    </row>
    <row r="49" spans="4:13" ht="12.75">
      <c r="D49" s="62" t="s">
        <v>41</v>
      </c>
      <c r="E49" s="73" t="e">
        <f>(G139-(D139*E139)/(B10*B13))^2/((J139-D139^2/(B10*B13))*(F139-E139^2/(B10*B13)))</f>
        <v>#DIV/0!</v>
      </c>
      <c r="G49" s="36" t="e">
        <f>IF(E49&gt;0.799,"Goodness of Fit is Acceptable","Goodness of Fit is NOT Acceptable")</f>
        <v>#DIV/0!</v>
      </c>
      <c r="I49" s="62"/>
      <c r="L49" s="62"/>
      <c r="M49" s="81"/>
    </row>
    <row r="50" spans="4:13" ht="12.75">
      <c r="D50" s="62"/>
      <c r="E50" s="81"/>
      <c r="L50" s="62"/>
      <c r="M50" s="81"/>
    </row>
    <row r="51" spans="4:5" ht="12.75">
      <c r="D51" s="62"/>
      <c r="E51" s="81"/>
    </row>
    <row r="77" spans="2:10" ht="12.75">
      <c r="B77" s="36" t="s">
        <v>65</v>
      </c>
      <c r="C77" s="36" t="s">
        <v>66</v>
      </c>
      <c r="D77" s="36" t="s">
        <v>68</v>
      </c>
      <c r="E77" s="36" t="s">
        <v>67</v>
      </c>
      <c r="F77" s="36" t="s">
        <v>69</v>
      </c>
      <c r="G77" s="36" t="s">
        <v>72</v>
      </c>
      <c r="H77" s="36" t="s">
        <v>76</v>
      </c>
      <c r="I77" s="36" t="s">
        <v>77</v>
      </c>
      <c r="J77" s="36" t="s">
        <v>83</v>
      </c>
    </row>
    <row r="78" spans="2:10" ht="12.75">
      <c r="B78" s="36">
        <v>1</v>
      </c>
      <c r="C78" s="36">
        <v>1</v>
      </c>
      <c r="D78" s="73">
        <f aca="true" t="shared" si="5" ref="D78:D89">D$10</f>
        <v>0</v>
      </c>
      <c r="E78" s="73">
        <f aca="true" t="shared" si="6" ref="E78:E89">D27</f>
        <v>0</v>
      </c>
      <c r="F78" s="36">
        <f aca="true" t="shared" si="7" ref="F78:F109">E78^2</f>
        <v>0</v>
      </c>
      <c r="G78" s="36">
        <f aca="true" t="shared" si="8" ref="G78:G109">D78*E78</f>
        <v>0</v>
      </c>
      <c r="H78" s="36">
        <f aca="true" t="shared" si="9" ref="H78:H109">D78-D$141</f>
        <v>0</v>
      </c>
      <c r="I78" s="36">
        <f aca="true" t="shared" si="10" ref="I78:I109">H78^2</f>
        <v>0</v>
      </c>
      <c r="J78" s="36">
        <f aca="true" t="shared" si="11" ref="J78:J109">D78^2</f>
        <v>0</v>
      </c>
    </row>
    <row r="79" spans="2:10" ht="12.75">
      <c r="B79" s="36">
        <v>1</v>
      </c>
      <c r="C79" s="36">
        <v>2</v>
      </c>
      <c r="D79" s="73">
        <f t="shared" si="5"/>
        <v>0</v>
      </c>
      <c r="E79" s="73">
        <f t="shared" si="6"/>
        <v>0</v>
      </c>
      <c r="F79" s="36">
        <f t="shared" si="7"/>
        <v>0</v>
      </c>
      <c r="G79" s="36">
        <f t="shared" si="8"/>
        <v>0</v>
      </c>
      <c r="H79" s="36">
        <f t="shared" si="9"/>
        <v>0</v>
      </c>
      <c r="I79" s="36">
        <f t="shared" si="10"/>
        <v>0</v>
      </c>
      <c r="J79" s="36">
        <f t="shared" si="11"/>
        <v>0</v>
      </c>
    </row>
    <row r="80" spans="2:10" ht="12.75">
      <c r="B80" s="36">
        <v>1</v>
      </c>
      <c r="C80" s="36">
        <v>3</v>
      </c>
      <c r="D80" s="73">
        <f t="shared" si="5"/>
        <v>0</v>
      </c>
      <c r="E80" s="73">
        <f t="shared" si="6"/>
        <v>0</v>
      </c>
      <c r="F80" s="36">
        <f t="shared" si="7"/>
        <v>0</v>
      </c>
      <c r="G80" s="36">
        <f t="shared" si="8"/>
        <v>0</v>
      </c>
      <c r="H80" s="36">
        <f t="shared" si="9"/>
        <v>0</v>
      </c>
      <c r="I80" s="36">
        <f t="shared" si="10"/>
        <v>0</v>
      </c>
      <c r="J80" s="36">
        <f t="shared" si="11"/>
        <v>0</v>
      </c>
    </row>
    <row r="81" spans="2:10" ht="12.75">
      <c r="B81" s="36">
        <v>1</v>
      </c>
      <c r="C81" s="36">
        <v>4</v>
      </c>
      <c r="D81" s="73">
        <f t="shared" si="5"/>
        <v>0</v>
      </c>
      <c r="E81" s="73">
        <f t="shared" si="6"/>
        <v>0</v>
      </c>
      <c r="F81" s="36">
        <f t="shared" si="7"/>
        <v>0</v>
      </c>
      <c r="G81" s="36">
        <f t="shared" si="8"/>
        <v>0</v>
      </c>
      <c r="H81" s="36">
        <f t="shared" si="9"/>
        <v>0</v>
      </c>
      <c r="I81" s="36">
        <f t="shared" si="10"/>
        <v>0</v>
      </c>
      <c r="J81" s="36">
        <f t="shared" si="11"/>
        <v>0</v>
      </c>
    </row>
    <row r="82" spans="2:10" ht="12.75">
      <c r="B82" s="36">
        <v>1</v>
      </c>
      <c r="C82" s="36">
        <v>5</v>
      </c>
      <c r="D82" s="73">
        <f t="shared" si="5"/>
        <v>0</v>
      </c>
      <c r="E82" s="73">
        <f t="shared" si="6"/>
        <v>0</v>
      </c>
      <c r="F82" s="36">
        <f t="shared" si="7"/>
        <v>0</v>
      </c>
      <c r="G82" s="36">
        <f t="shared" si="8"/>
        <v>0</v>
      </c>
      <c r="H82" s="36">
        <f t="shared" si="9"/>
        <v>0</v>
      </c>
      <c r="I82" s="36">
        <f t="shared" si="10"/>
        <v>0</v>
      </c>
      <c r="J82" s="36">
        <f t="shared" si="11"/>
        <v>0</v>
      </c>
    </row>
    <row r="83" spans="2:10" ht="12.75">
      <c r="B83" s="36">
        <v>1</v>
      </c>
      <c r="C83" s="36">
        <v>6</v>
      </c>
      <c r="D83" s="73">
        <f t="shared" si="5"/>
        <v>0</v>
      </c>
      <c r="E83" s="73">
        <f t="shared" si="6"/>
        <v>0</v>
      </c>
      <c r="F83" s="36">
        <f t="shared" si="7"/>
        <v>0</v>
      </c>
      <c r="G83" s="36">
        <f t="shared" si="8"/>
        <v>0</v>
      </c>
      <c r="H83" s="36">
        <f t="shared" si="9"/>
        <v>0</v>
      </c>
      <c r="I83" s="36">
        <f t="shared" si="10"/>
        <v>0</v>
      </c>
      <c r="J83" s="36">
        <f t="shared" si="11"/>
        <v>0</v>
      </c>
    </row>
    <row r="84" spans="2:10" ht="12.75">
      <c r="B84" s="36">
        <v>1</v>
      </c>
      <c r="C84" s="36">
        <v>7</v>
      </c>
      <c r="D84" s="73">
        <f t="shared" si="5"/>
        <v>0</v>
      </c>
      <c r="E84" s="73">
        <f t="shared" si="6"/>
        <v>0</v>
      </c>
      <c r="F84" s="36">
        <f t="shared" si="7"/>
        <v>0</v>
      </c>
      <c r="G84" s="36">
        <f t="shared" si="8"/>
        <v>0</v>
      </c>
      <c r="H84" s="36">
        <f t="shared" si="9"/>
        <v>0</v>
      </c>
      <c r="I84" s="36">
        <f t="shared" si="10"/>
        <v>0</v>
      </c>
      <c r="J84" s="36">
        <f t="shared" si="11"/>
        <v>0</v>
      </c>
    </row>
    <row r="85" spans="2:10" ht="12.75">
      <c r="B85" s="36">
        <v>1</v>
      </c>
      <c r="C85" s="36">
        <v>8</v>
      </c>
      <c r="D85" s="73">
        <f t="shared" si="5"/>
        <v>0</v>
      </c>
      <c r="E85" s="73">
        <f t="shared" si="6"/>
        <v>0</v>
      </c>
      <c r="F85" s="36">
        <f t="shared" si="7"/>
        <v>0</v>
      </c>
      <c r="G85" s="36">
        <f t="shared" si="8"/>
        <v>0</v>
      </c>
      <c r="H85" s="36">
        <f t="shared" si="9"/>
        <v>0</v>
      </c>
      <c r="I85" s="36">
        <f t="shared" si="10"/>
        <v>0</v>
      </c>
      <c r="J85" s="36">
        <f t="shared" si="11"/>
        <v>0</v>
      </c>
    </row>
    <row r="86" spans="2:10" ht="12.75">
      <c r="B86" s="36">
        <v>1</v>
      </c>
      <c r="C86" s="36">
        <v>9</v>
      </c>
      <c r="D86" s="73">
        <f t="shared" si="5"/>
        <v>0</v>
      </c>
      <c r="E86" s="73">
        <f t="shared" si="6"/>
        <v>0</v>
      </c>
      <c r="F86" s="36">
        <f t="shared" si="7"/>
        <v>0</v>
      </c>
      <c r="G86" s="36">
        <f t="shared" si="8"/>
        <v>0</v>
      </c>
      <c r="H86" s="36">
        <f t="shared" si="9"/>
        <v>0</v>
      </c>
      <c r="I86" s="36">
        <f t="shared" si="10"/>
        <v>0</v>
      </c>
      <c r="J86" s="36">
        <f t="shared" si="11"/>
        <v>0</v>
      </c>
    </row>
    <row r="87" spans="2:10" ht="12.75">
      <c r="B87" s="36">
        <v>1</v>
      </c>
      <c r="C87" s="36">
        <v>10</v>
      </c>
      <c r="D87" s="73">
        <f t="shared" si="5"/>
        <v>0</v>
      </c>
      <c r="E87" s="73">
        <f t="shared" si="6"/>
        <v>0</v>
      </c>
      <c r="F87" s="36">
        <f t="shared" si="7"/>
        <v>0</v>
      </c>
      <c r="G87" s="36">
        <f t="shared" si="8"/>
        <v>0</v>
      </c>
      <c r="H87" s="36">
        <f t="shared" si="9"/>
        <v>0</v>
      </c>
      <c r="I87" s="36">
        <f t="shared" si="10"/>
        <v>0</v>
      </c>
      <c r="J87" s="36">
        <f t="shared" si="11"/>
        <v>0</v>
      </c>
    </row>
    <row r="88" spans="2:10" ht="12.75">
      <c r="B88" s="36">
        <v>1</v>
      </c>
      <c r="C88" s="36">
        <v>11</v>
      </c>
      <c r="D88" s="73">
        <f t="shared" si="5"/>
        <v>0</v>
      </c>
      <c r="E88" s="73">
        <f t="shared" si="6"/>
        <v>0</v>
      </c>
      <c r="F88" s="36">
        <f t="shared" si="7"/>
        <v>0</v>
      </c>
      <c r="G88" s="36">
        <f t="shared" si="8"/>
        <v>0</v>
      </c>
      <c r="H88" s="36">
        <f t="shared" si="9"/>
        <v>0</v>
      </c>
      <c r="I88" s="36">
        <f t="shared" si="10"/>
        <v>0</v>
      </c>
      <c r="J88" s="36">
        <f t="shared" si="11"/>
        <v>0</v>
      </c>
    </row>
    <row r="89" spans="2:10" ht="12.75">
      <c r="B89" s="36">
        <v>1</v>
      </c>
      <c r="C89" s="36">
        <v>12</v>
      </c>
      <c r="D89" s="73">
        <f t="shared" si="5"/>
        <v>0</v>
      </c>
      <c r="E89" s="73">
        <f t="shared" si="6"/>
        <v>0</v>
      </c>
      <c r="F89" s="36">
        <f t="shared" si="7"/>
        <v>0</v>
      </c>
      <c r="G89" s="36">
        <f t="shared" si="8"/>
        <v>0</v>
      </c>
      <c r="H89" s="36">
        <f t="shared" si="9"/>
        <v>0</v>
      </c>
      <c r="I89" s="36">
        <f t="shared" si="10"/>
        <v>0</v>
      </c>
      <c r="J89" s="36">
        <f t="shared" si="11"/>
        <v>0</v>
      </c>
    </row>
    <row r="90" spans="2:10" ht="12.75">
      <c r="B90" s="36">
        <v>2</v>
      </c>
      <c r="C90" s="36">
        <v>1</v>
      </c>
      <c r="D90" s="73">
        <f aca="true" t="shared" si="12" ref="D90:D101">F$10</f>
        <v>0</v>
      </c>
      <c r="E90" s="73">
        <f aca="true" t="shared" si="13" ref="E90:E101">F27</f>
        <v>0</v>
      </c>
      <c r="F90" s="36">
        <f t="shared" si="7"/>
        <v>0</v>
      </c>
      <c r="G90" s="36">
        <f t="shared" si="8"/>
        <v>0</v>
      </c>
      <c r="H90" s="36">
        <f t="shared" si="9"/>
        <v>0</v>
      </c>
      <c r="I90" s="36">
        <f t="shared" si="10"/>
        <v>0</v>
      </c>
      <c r="J90" s="36">
        <f t="shared" si="11"/>
        <v>0</v>
      </c>
    </row>
    <row r="91" spans="2:10" ht="12.75">
      <c r="B91" s="36">
        <v>2</v>
      </c>
      <c r="C91" s="36">
        <v>2</v>
      </c>
      <c r="D91" s="73">
        <f t="shared" si="12"/>
        <v>0</v>
      </c>
      <c r="E91" s="73">
        <f t="shared" si="13"/>
        <v>0</v>
      </c>
      <c r="F91" s="36">
        <f t="shared" si="7"/>
        <v>0</v>
      </c>
      <c r="G91" s="36">
        <f t="shared" si="8"/>
        <v>0</v>
      </c>
      <c r="H91" s="36">
        <f t="shared" si="9"/>
        <v>0</v>
      </c>
      <c r="I91" s="36">
        <f t="shared" si="10"/>
        <v>0</v>
      </c>
      <c r="J91" s="36">
        <f t="shared" si="11"/>
        <v>0</v>
      </c>
    </row>
    <row r="92" spans="2:10" ht="12.75">
      <c r="B92" s="36">
        <v>2</v>
      </c>
      <c r="C92" s="36">
        <v>3</v>
      </c>
      <c r="D92" s="73">
        <f t="shared" si="12"/>
        <v>0</v>
      </c>
      <c r="E92" s="73">
        <f t="shared" si="13"/>
        <v>0</v>
      </c>
      <c r="F92" s="36">
        <f t="shared" si="7"/>
        <v>0</v>
      </c>
      <c r="G92" s="36">
        <f t="shared" si="8"/>
        <v>0</v>
      </c>
      <c r="H92" s="36">
        <f t="shared" si="9"/>
        <v>0</v>
      </c>
      <c r="I92" s="36">
        <f t="shared" si="10"/>
        <v>0</v>
      </c>
      <c r="J92" s="36">
        <f t="shared" si="11"/>
        <v>0</v>
      </c>
    </row>
    <row r="93" spans="2:10" ht="12.75">
      <c r="B93" s="36">
        <v>2</v>
      </c>
      <c r="C93" s="36">
        <v>4</v>
      </c>
      <c r="D93" s="73">
        <f t="shared" si="12"/>
        <v>0</v>
      </c>
      <c r="E93" s="73">
        <f t="shared" si="13"/>
        <v>0</v>
      </c>
      <c r="F93" s="36">
        <f t="shared" si="7"/>
        <v>0</v>
      </c>
      <c r="G93" s="36">
        <f t="shared" si="8"/>
        <v>0</v>
      </c>
      <c r="H93" s="36">
        <f t="shared" si="9"/>
        <v>0</v>
      </c>
      <c r="I93" s="36">
        <f t="shared" si="10"/>
        <v>0</v>
      </c>
      <c r="J93" s="36">
        <f t="shared" si="11"/>
        <v>0</v>
      </c>
    </row>
    <row r="94" spans="2:10" ht="12.75">
      <c r="B94" s="36">
        <v>2</v>
      </c>
      <c r="C94" s="36">
        <v>5</v>
      </c>
      <c r="D94" s="73">
        <f t="shared" si="12"/>
        <v>0</v>
      </c>
      <c r="E94" s="73">
        <f t="shared" si="13"/>
        <v>0</v>
      </c>
      <c r="F94" s="36">
        <f t="shared" si="7"/>
        <v>0</v>
      </c>
      <c r="G94" s="36">
        <f t="shared" si="8"/>
        <v>0</v>
      </c>
      <c r="H94" s="36">
        <f t="shared" si="9"/>
        <v>0</v>
      </c>
      <c r="I94" s="36">
        <f t="shared" si="10"/>
        <v>0</v>
      </c>
      <c r="J94" s="36">
        <f t="shared" si="11"/>
        <v>0</v>
      </c>
    </row>
    <row r="95" spans="2:10" ht="12.75">
      <c r="B95" s="36">
        <v>2</v>
      </c>
      <c r="C95" s="36">
        <v>6</v>
      </c>
      <c r="D95" s="73">
        <f t="shared" si="12"/>
        <v>0</v>
      </c>
      <c r="E95" s="73">
        <f t="shared" si="13"/>
        <v>0</v>
      </c>
      <c r="F95" s="36">
        <f t="shared" si="7"/>
        <v>0</v>
      </c>
      <c r="G95" s="36">
        <f t="shared" si="8"/>
        <v>0</v>
      </c>
      <c r="H95" s="36">
        <f t="shared" si="9"/>
        <v>0</v>
      </c>
      <c r="I95" s="36">
        <f t="shared" si="10"/>
        <v>0</v>
      </c>
      <c r="J95" s="36">
        <f t="shared" si="11"/>
        <v>0</v>
      </c>
    </row>
    <row r="96" spans="2:10" ht="12.75">
      <c r="B96" s="36">
        <v>2</v>
      </c>
      <c r="C96" s="36">
        <v>7</v>
      </c>
      <c r="D96" s="73">
        <f t="shared" si="12"/>
        <v>0</v>
      </c>
      <c r="E96" s="73">
        <f t="shared" si="13"/>
        <v>0</v>
      </c>
      <c r="F96" s="36">
        <f t="shared" si="7"/>
        <v>0</v>
      </c>
      <c r="G96" s="36">
        <f t="shared" si="8"/>
        <v>0</v>
      </c>
      <c r="H96" s="36">
        <f t="shared" si="9"/>
        <v>0</v>
      </c>
      <c r="I96" s="36">
        <f t="shared" si="10"/>
        <v>0</v>
      </c>
      <c r="J96" s="36">
        <f t="shared" si="11"/>
        <v>0</v>
      </c>
    </row>
    <row r="97" spans="2:10" ht="12.75">
      <c r="B97" s="36">
        <v>2</v>
      </c>
      <c r="C97" s="36">
        <v>8</v>
      </c>
      <c r="D97" s="73">
        <f t="shared" si="12"/>
        <v>0</v>
      </c>
      <c r="E97" s="73">
        <f t="shared" si="13"/>
        <v>0</v>
      </c>
      <c r="F97" s="36">
        <f t="shared" si="7"/>
        <v>0</v>
      </c>
      <c r="G97" s="36">
        <f t="shared" si="8"/>
        <v>0</v>
      </c>
      <c r="H97" s="36">
        <f t="shared" si="9"/>
        <v>0</v>
      </c>
      <c r="I97" s="36">
        <f t="shared" si="10"/>
        <v>0</v>
      </c>
      <c r="J97" s="36">
        <f t="shared" si="11"/>
        <v>0</v>
      </c>
    </row>
    <row r="98" spans="2:10" ht="12.75">
      <c r="B98" s="36">
        <v>2</v>
      </c>
      <c r="C98" s="36">
        <v>9</v>
      </c>
      <c r="D98" s="73">
        <f t="shared" si="12"/>
        <v>0</v>
      </c>
      <c r="E98" s="73">
        <f t="shared" si="13"/>
        <v>0</v>
      </c>
      <c r="F98" s="36">
        <f t="shared" si="7"/>
        <v>0</v>
      </c>
      <c r="G98" s="36">
        <f t="shared" si="8"/>
        <v>0</v>
      </c>
      <c r="H98" s="36">
        <f t="shared" si="9"/>
        <v>0</v>
      </c>
      <c r="I98" s="36">
        <f t="shared" si="10"/>
        <v>0</v>
      </c>
      <c r="J98" s="36">
        <f t="shared" si="11"/>
        <v>0</v>
      </c>
    </row>
    <row r="99" spans="2:10" ht="12.75">
      <c r="B99" s="36">
        <v>2</v>
      </c>
      <c r="C99" s="36">
        <v>10</v>
      </c>
      <c r="D99" s="73">
        <f t="shared" si="12"/>
        <v>0</v>
      </c>
      <c r="E99" s="73">
        <f t="shared" si="13"/>
        <v>0</v>
      </c>
      <c r="F99" s="36">
        <f t="shared" si="7"/>
        <v>0</v>
      </c>
      <c r="G99" s="36">
        <f t="shared" si="8"/>
        <v>0</v>
      </c>
      <c r="H99" s="36">
        <f t="shared" si="9"/>
        <v>0</v>
      </c>
      <c r="I99" s="36">
        <f t="shared" si="10"/>
        <v>0</v>
      </c>
      <c r="J99" s="36">
        <f t="shared" si="11"/>
        <v>0</v>
      </c>
    </row>
    <row r="100" spans="2:10" ht="12.75">
      <c r="B100" s="36">
        <v>2</v>
      </c>
      <c r="C100" s="36">
        <v>11</v>
      </c>
      <c r="D100" s="73">
        <f t="shared" si="12"/>
        <v>0</v>
      </c>
      <c r="E100" s="73">
        <f t="shared" si="13"/>
        <v>0</v>
      </c>
      <c r="F100" s="36">
        <f t="shared" si="7"/>
        <v>0</v>
      </c>
      <c r="G100" s="36">
        <f t="shared" si="8"/>
        <v>0</v>
      </c>
      <c r="H100" s="36">
        <f t="shared" si="9"/>
        <v>0</v>
      </c>
      <c r="I100" s="36">
        <f t="shared" si="10"/>
        <v>0</v>
      </c>
      <c r="J100" s="36">
        <f t="shared" si="11"/>
        <v>0</v>
      </c>
    </row>
    <row r="101" spans="2:10" ht="12.75">
      <c r="B101" s="36">
        <v>2</v>
      </c>
      <c r="C101" s="36">
        <v>12</v>
      </c>
      <c r="D101" s="73">
        <f t="shared" si="12"/>
        <v>0</v>
      </c>
      <c r="E101" s="73">
        <f t="shared" si="13"/>
        <v>0</v>
      </c>
      <c r="F101" s="36">
        <f t="shared" si="7"/>
        <v>0</v>
      </c>
      <c r="G101" s="36">
        <f t="shared" si="8"/>
        <v>0</v>
      </c>
      <c r="H101" s="36">
        <f t="shared" si="9"/>
        <v>0</v>
      </c>
      <c r="I101" s="36">
        <f t="shared" si="10"/>
        <v>0</v>
      </c>
      <c r="J101" s="36">
        <f t="shared" si="11"/>
        <v>0</v>
      </c>
    </row>
    <row r="102" spans="2:10" ht="12.75">
      <c r="B102" s="36">
        <v>3</v>
      </c>
      <c r="C102" s="36">
        <v>1</v>
      </c>
      <c r="D102" s="73">
        <f aca="true" t="shared" si="14" ref="D102:D113">H$10</f>
        <v>0</v>
      </c>
      <c r="E102" s="73">
        <f aca="true" t="shared" si="15" ref="E102:E113">H27</f>
        <v>0</v>
      </c>
      <c r="F102" s="36">
        <f t="shared" si="7"/>
        <v>0</v>
      </c>
      <c r="G102" s="36">
        <f t="shared" si="8"/>
        <v>0</v>
      </c>
      <c r="H102" s="36">
        <f t="shared" si="9"/>
        <v>0</v>
      </c>
      <c r="I102" s="36">
        <f t="shared" si="10"/>
        <v>0</v>
      </c>
      <c r="J102" s="36">
        <f t="shared" si="11"/>
        <v>0</v>
      </c>
    </row>
    <row r="103" spans="2:10" ht="12.75">
      <c r="B103" s="36">
        <v>3</v>
      </c>
      <c r="C103" s="36">
        <v>2</v>
      </c>
      <c r="D103" s="73">
        <f t="shared" si="14"/>
        <v>0</v>
      </c>
      <c r="E103" s="73">
        <f t="shared" si="15"/>
        <v>0</v>
      </c>
      <c r="F103" s="36">
        <f t="shared" si="7"/>
        <v>0</v>
      </c>
      <c r="G103" s="36">
        <f t="shared" si="8"/>
        <v>0</v>
      </c>
      <c r="H103" s="36">
        <f t="shared" si="9"/>
        <v>0</v>
      </c>
      <c r="I103" s="36">
        <f t="shared" si="10"/>
        <v>0</v>
      </c>
      <c r="J103" s="36">
        <f t="shared" si="11"/>
        <v>0</v>
      </c>
    </row>
    <row r="104" spans="2:10" ht="12.75">
      <c r="B104" s="36">
        <v>3</v>
      </c>
      <c r="C104" s="36">
        <v>3</v>
      </c>
      <c r="D104" s="73">
        <f t="shared" si="14"/>
        <v>0</v>
      </c>
      <c r="E104" s="73">
        <f t="shared" si="15"/>
        <v>0</v>
      </c>
      <c r="F104" s="36">
        <f t="shared" si="7"/>
        <v>0</v>
      </c>
      <c r="G104" s="36">
        <f t="shared" si="8"/>
        <v>0</v>
      </c>
      <c r="H104" s="36">
        <f t="shared" si="9"/>
        <v>0</v>
      </c>
      <c r="I104" s="36">
        <f t="shared" si="10"/>
        <v>0</v>
      </c>
      <c r="J104" s="36">
        <f t="shared" si="11"/>
        <v>0</v>
      </c>
    </row>
    <row r="105" spans="2:10" ht="12.75">
      <c r="B105" s="36">
        <v>3</v>
      </c>
      <c r="C105" s="36">
        <v>4</v>
      </c>
      <c r="D105" s="73">
        <f t="shared" si="14"/>
        <v>0</v>
      </c>
      <c r="E105" s="73">
        <f t="shared" si="15"/>
        <v>0</v>
      </c>
      <c r="F105" s="36">
        <f t="shared" si="7"/>
        <v>0</v>
      </c>
      <c r="G105" s="36">
        <f t="shared" si="8"/>
        <v>0</v>
      </c>
      <c r="H105" s="36">
        <f t="shared" si="9"/>
        <v>0</v>
      </c>
      <c r="I105" s="36">
        <f t="shared" si="10"/>
        <v>0</v>
      </c>
      <c r="J105" s="36">
        <f t="shared" si="11"/>
        <v>0</v>
      </c>
    </row>
    <row r="106" spans="2:10" ht="12.75">
      <c r="B106" s="36">
        <v>3</v>
      </c>
      <c r="C106" s="36">
        <v>5</v>
      </c>
      <c r="D106" s="73">
        <f t="shared" si="14"/>
        <v>0</v>
      </c>
      <c r="E106" s="73">
        <f t="shared" si="15"/>
        <v>0</v>
      </c>
      <c r="F106" s="36">
        <f t="shared" si="7"/>
        <v>0</v>
      </c>
      <c r="G106" s="36">
        <f t="shared" si="8"/>
        <v>0</v>
      </c>
      <c r="H106" s="36">
        <f t="shared" si="9"/>
        <v>0</v>
      </c>
      <c r="I106" s="36">
        <f t="shared" si="10"/>
        <v>0</v>
      </c>
      <c r="J106" s="36">
        <f t="shared" si="11"/>
        <v>0</v>
      </c>
    </row>
    <row r="107" spans="2:10" ht="12.75">
      <c r="B107" s="36">
        <v>3</v>
      </c>
      <c r="C107" s="36">
        <v>6</v>
      </c>
      <c r="D107" s="73">
        <f t="shared" si="14"/>
        <v>0</v>
      </c>
      <c r="E107" s="73">
        <f t="shared" si="15"/>
        <v>0</v>
      </c>
      <c r="F107" s="36">
        <f t="shared" si="7"/>
        <v>0</v>
      </c>
      <c r="G107" s="36">
        <f t="shared" si="8"/>
        <v>0</v>
      </c>
      <c r="H107" s="36">
        <f t="shared" si="9"/>
        <v>0</v>
      </c>
      <c r="I107" s="36">
        <f t="shared" si="10"/>
        <v>0</v>
      </c>
      <c r="J107" s="36">
        <f t="shared" si="11"/>
        <v>0</v>
      </c>
    </row>
    <row r="108" spans="2:10" ht="12.75">
      <c r="B108" s="36">
        <v>3</v>
      </c>
      <c r="C108" s="36">
        <v>7</v>
      </c>
      <c r="D108" s="73">
        <f t="shared" si="14"/>
        <v>0</v>
      </c>
      <c r="E108" s="73">
        <f t="shared" si="15"/>
        <v>0</v>
      </c>
      <c r="F108" s="36">
        <f t="shared" si="7"/>
        <v>0</v>
      </c>
      <c r="G108" s="36">
        <f t="shared" si="8"/>
        <v>0</v>
      </c>
      <c r="H108" s="36">
        <f t="shared" si="9"/>
        <v>0</v>
      </c>
      <c r="I108" s="36">
        <f t="shared" si="10"/>
        <v>0</v>
      </c>
      <c r="J108" s="36">
        <f t="shared" si="11"/>
        <v>0</v>
      </c>
    </row>
    <row r="109" spans="2:10" ht="12.75">
      <c r="B109" s="36">
        <v>3</v>
      </c>
      <c r="C109" s="36">
        <v>8</v>
      </c>
      <c r="D109" s="73">
        <f t="shared" si="14"/>
        <v>0</v>
      </c>
      <c r="E109" s="73">
        <f t="shared" si="15"/>
        <v>0</v>
      </c>
      <c r="F109" s="36">
        <f t="shared" si="7"/>
        <v>0</v>
      </c>
      <c r="G109" s="36">
        <f t="shared" si="8"/>
        <v>0</v>
      </c>
      <c r="H109" s="36">
        <f t="shared" si="9"/>
        <v>0</v>
      </c>
      <c r="I109" s="36">
        <f t="shared" si="10"/>
        <v>0</v>
      </c>
      <c r="J109" s="36">
        <f t="shared" si="11"/>
        <v>0</v>
      </c>
    </row>
    <row r="110" spans="2:10" ht="12.75">
      <c r="B110" s="36">
        <v>3</v>
      </c>
      <c r="C110" s="36">
        <v>9</v>
      </c>
      <c r="D110" s="73">
        <f t="shared" si="14"/>
        <v>0</v>
      </c>
      <c r="E110" s="73">
        <f t="shared" si="15"/>
        <v>0</v>
      </c>
      <c r="F110" s="36">
        <f aca="true" t="shared" si="16" ref="F110:F137">E110^2</f>
        <v>0</v>
      </c>
      <c r="G110" s="36">
        <f aca="true" t="shared" si="17" ref="G110:G137">D110*E110</f>
        <v>0</v>
      </c>
      <c r="H110" s="36">
        <f aca="true" t="shared" si="18" ref="H110:H137">D110-D$141</f>
        <v>0</v>
      </c>
      <c r="I110" s="36">
        <f aca="true" t="shared" si="19" ref="I110:I137">H110^2</f>
        <v>0</v>
      </c>
      <c r="J110" s="36">
        <f aca="true" t="shared" si="20" ref="J110:J137">D110^2</f>
        <v>0</v>
      </c>
    </row>
    <row r="111" spans="2:10" ht="12.75">
      <c r="B111" s="36">
        <v>3</v>
      </c>
      <c r="C111" s="36">
        <v>10</v>
      </c>
      <c r="D111" s="73">
        <f t="shared" si="14"/>
        <v>0</v>
      </c>
      <c r="E111" s="73">
        <f t="shared" si="15"/>
        <v>0</v>
      </c>
      <c r="F111" s="36">
        <f t="shared" si="16"/>
        <v>0</v>
      </c>
      <c r="G111" s="36">
        <f t="shared" si="17"/>
        <v>0</v>
      </c>
      <c r="H111" s="36">
        <f t="shared" si="18"/>
        <v>0</v>
      </c>
      <c r="I111" s="36">
        <f t="shared" si="19"/>
        <v>0</v>
      </c>
      <c r="J111" s="36">
        <f t="shared" si="20"/>
        <v>0</v>
      </c>
    </row>
    <row r="112" spans="2:10" ht="12.75">
      <c r="B112" s="36">
        <v>3</v>
      </c>
      <c r="C112" s="36">
        <v>11</v>
      </c>
      <c r="D112" s="73">
        <f t="shared" si="14"/>
        <v>0</v>
      </c>
      <c r="E112" s="73">
        <f t="shared" si="15"/>
        <v>0</v>
      </c>
      <c r="F112" s="36">
        <f t="shared" si="16"/>
        <v>0</v>
      </c>
      <c r="G112" s="36">
        <f t="shared" si="17"/>
        <v>0</v>
      </c>
      <c r="H112" s="36">
        <f t="shared" si="18"/>
        <v>0</v>
      </c>
      <c r="I112" s="36">
        <f t="shared" si="19"/>
        <v>0</v>
      </c>
      <c r="J112" s="36">
        <f t="shared" si="20"/>
        <v>0</v>
      </c>
    </row>
    <row r="113" spans="2:10" ht="12.75">
      <c r="B113" s="36">
        <v>3</v>
      </c>
      <c r="C113" s="36">
        <v>12</v>
      </c>
      <c r="D113" s="73">
        <f t="shared" si="14"/>
        <v>0</v>
      </c>
      <c r="E113" s="73">
        <f t="shared" si="15"/>
        <v>0</v>
      </c>
      <c r="F113" s="36">
        <f t="shared" si="16"/>
        <v>0</v>
      </c>
      <c r="G113" s="36">
        <f t="shared" si="17"/>
        <v>0</v>
      </c>
      <c r="H113" s="36">
        <f t="shared" si="18"/>
        <v>0</v>
      </c>
      <c r="I113" s="36">
        <f t="shared" si="19"/>
        <v>0</v>
      </c>
      <c r="J113" s="36">
        <f t="shared" si="20"/>
        <v>0</v>
      </c>
    </row>
    <row r="114" spans="2:10" ht="12.75">
      <c r="B114" s="36">
        <v>4</v>
      </c>
      <c r="C114" s="36">
        <v>1</v>
      </c>
      <c r="D114" s="73">
        <f aca="true" t="shared" si="21" ref="D114:D125">J$10</f>
        <v>0</v>
      </c>
      <c r="E114" s="73">
        <f aca="true" t="shared" si="22" ref="E114:E125">J27</f>
        <v>0</v>
      </c>
      <c r="F114" s="36">
        <f t="shared" si="16"/>
        <v>0</v>
      </c>
      <c r="G114" s="36">
        <f t="shared" si="17"/>
        <v>0</v>
      </c>
      <c r="H114" s="36">
        <f t="shared" si="18"/>
        <v>0</v>
      </c>
      <c r="I114" s="36">
        <f t="shared" si="19"/>
        <v>0</v>
      </c>
      <c r="J114" s="36">
        <f t="shared" si="20"/>
        <v>0</v>
      </c>
    </row>
    <row r="115" spans="2:10" ht="12.75">
      <c r="B115" s="36">
        <v>4</v>
      </c>
      <c r="C115" s="36">
        <v>2</v>
      </c>
      <c r="D115" s="73">
        <f t="shared" si="21"/>
        <v>0</v>
      </c>
      <c r="E115" s="73">
        <f t="shared" si="22"/>
        <v>0</v>
      </c>
      <c r="F115" s="36">
        <f t="shared" si="16"/>
        <v>0</v>
      </c>
      <c r="G115" s="36">
        <f t="shared" si="17"/>
        <v>0</v>
      </c>
      <c r="H115" s="36">
        <f t="shared" si="18"/>
        <v>0</v>
      </c>
      <c r="I115" s="36">
        <f t="shared" si="19"/>
        <v>0</v>
      </c>
      <c r="J115" s="36">
        <f t="shared" si="20"/>
        <v>0</v>
      </c>
    </row>
    <row r="116" spans="2:10" ht="12.75">
      <c r="B116" s="36">
        <v>4</v>
      </c>
      <c r="C116" s="36">
        <v>3</v>
      </c>
      <c r="D116" s="73">
        <f t="shared" si="21"/>
        <v>0</v>
      </c>
      <c r="E116" s="73">
        <f t="shared" si="22"/>
        <v>0</v>
      </c>
      <c r="F116" s="36">
        <f t="shared" si="16"/>
        <v>0</v>
      </c>
      <c r="G116" s="36">
        <f t="shared" si="17"/>
        <v>0</v>
      </c>
      <c r="H116" s="36">
        <f t="shared" si="18"/>
        <v>0</v>
      </c>
      <c r="I116" s="36">
        <f t="shared" si="19"/>
        <v>0</v>
      </c>
      <c r="J116" s="36">
        <f t="shared" si="20"/>
        <v>0</v>
      </c>
    </row>
    <row r="117" spans="2:10" ht="12.75">
      <c r="B117" s="36">
        <v>4</v>
      </c>
      <c r="C117" s="36">
        <v>4</v>
      </c>
      <c r="D117" s="73">
        <f t="shared" si="21"/>
        <v>0</v>
      </c>
      <c r="E117" s="73">
        <f t="shared" si="22"/>
        <v>0</v>
      </c>
      <c r="F117" s="36">
        <f t="shared" si="16"/>
        <v>0</v>
      </c>
      <c r="G117" s="36">
        <f t="shared" si="17"/>
        <v>0</v>
      </c>
      <c r="H117" s="36">
        <f t="shared" si="18"/>
        <v>0</v>
      </c>
      <c r="I117" s="36">
        <f t="shared" si="19"/>
        <v>0</v>
      </c>
      <c r="J117" s="36">
        <f t="shared" si="20"/>
        <v>0</v>
      </c>
    </row>
    <row r="118" spans="2:10" ht="12.75">
      <c r="B118" s="36">
        <v>4</v>
      </c>
      <c r="C118" s="36">
        <v>5</v>
      </c>
      <c r="D118" s="73">
        <f t="shared" si="21"/>
        <v>0</v>
      </c>
      <c r="E118" s="73">
        <f t="shared" si="22"/>
        <v>0</v>
      </c>
      <c r="F118" s="36">
        <f t="shared" si="16"/>
        <v>0</v>
      </c>
      <c r="G118" s="36">
        <f t="shared" si="17"/>
        <v>0</v>
      </c>
      <c r="H118" s="36">
        <f t="shared" si="18"/>
        <v>0</v>
      </c>
      <c r="I118" s="36">
        <f t="shared" si="19"/>
        <v>0</v>
      </c>
      <c r="J118" s="36">
        <f t="shared" si="20"/>
        <v>0</v>
      </c>
    </row>
    <row r="119" spans="2:10" ht="12.75">
      <c r="B119" s="36">
        <v>4</v>
      </c>
      <c r="C119" s="36">
        <v>6</v>
      </c>
      <c r="D119" s="73">
        <f t="shared" si="21"/>
        <v>0</v>
      </c>
      <c r="E119" s="73">
        <f t="shared" si="22"/>
        <v>0</v>
      </c>
      <c r="F119" s="36">
        <f t="shared" si="16"/>
        <v>0</v>
      </c>
      <c r="G119" s="36">
        <f t="shared" si="17"/>
        <v>0</v>
      </c>
      <c r="H119" s="36">
        <f t="shared" si="18"/>
        <v>0</v>
      </c>
      <c r="I119" s="36">
        <f t="shared" si="19"/>
        <v>0</v>
      </c>
      <c r="J119" s="36">
        <f t="shared" si="20"/>
        <v>0</v>
      </c>
    </row>
    <row r="120" spans="2:10" ht="12.75">
      <c r="B120" s="36">
        <v>4</v>
      </c>
      <c r="C120" s="36">
        <v>7</v>
      </c>
      <c r="D120" s="73">
        <f t="shared" si="21"/>
        <v>0</v>
      </c>
      <c r="E120" s="73">
        <f t="shared" si="22"/>
        <v>0</v>
      </c>
      <c r="F120" s="36">
        <f t="shared" si="16"/>
        <v>0</v>
      </c>
      <c r="G120" s="36">
        <f t="shared" si="17"/>
        <v>0</v>
      </c>
      <c r="H120" s="36">
        <f t="shared" si="18"/>
        <v>0</v>
      </c>
      <c r="I120" s="36">
        <f t="shared" si="19"/>
        <v>0</v>
      </c>
      <c r="J120" s="36">
        <f t="shared" si="20"/>
        <v>0</v>
      </c>
    </row>
    <row r="121" spans="2:10" ht="12.75">
      <c r="B121" s="36">
        <v>4</v>
      </c>
      <c r="C121" s="36">
        <v>8</v>
      </c>
      <c r="D121" s="73">
        <f t="shared" si="21"/>
        <v>0</v>
      </c>
      <c r="E121" s="73">
        <f t="shared" si="22"/>
        <v>0</v>
      </c>
      <c r="F121" s="36">
        <f t="shared" si="16"/>
        <v>0</v>
      </c>
      <c r="G121" s="36">
        <f t="shared" si="17"/>
        <v>0</v>
      </c>
      <c r="H121" s="36">
        <f t="shared" si="18"/>
        <v>0</v>
      </c>
      <c r="I121" s="36">
        <f t="shared" si="19"/>
        <v>0</v>
      </c>
      <c r="J121" s="36">
        <f t="shared" si="20"/>
        <v>0</v>
      </c>
    </row>
    <row r="122" spans="2:10" ht="12.75">
      <c r="B122" s="36">
        <v>4</v>
      </c>
      <c r="C122" s="36">
        <v>9</v>
      </c>
      <c r="D122" s="73">
        <f t="shared" si="21"/>
        <v>0</v>
      </c>
      <c r="E122" s="73">
        <f t="shared" si="22"/>
        <v>0</v>
      </c>
      <c r="F122" s="36">
        <f t="shared" si="16"/>
        <v>0</v>
      </c>
      <c r="G122" s="36">
        <f t="shared" si="17"/>
        <v>0</v>
      </c>
      <c r="H122" s="36">
        <f t="shared" si="18"/>
        <v>0</v>
      </c>
      <c r="I122" s="36">
        <f t="shared" si="19"/>
        <v>0</v>
      </c>
      <c r="J122" s="36">
        <f t="shared" si="20"/>
        <v>0</v>
      </c>
    </row>
    <row r="123" spans="2:10" ht="12.75">
      <c r="B123" s="36">
        <v>4</v>
      </c>
      <c r="C123" s="36">
        <v>10</v>
      </c>
      <c r="D123" s="73">
        <f t="shared" si="21"/>
        <v>0</v>
      </c>
      <c r="E123" s="73">
        <f t="shared" si="22"/>
        <v>0</v>
      </c>
      <c r="F123" s="36">
        <f t="shared" si="16"/>
        <v>0</v>
      </c>
      <c r="G123" s="36">
        <f t="shared" si="17"/>
        <v>0</v>
      </c>
      <c r="H123" s="36">
        <f t="shared" si="18"/>
        <v>0</v>
      </c>
      <c r="I123" s="36">
        <f t="shared" si="19"/>
        <v>0</v>
      </c>
      <c r="J123" s="36">
        <f t="shared" si="20"/>
        <v>0</v>
      </c>
    </row>
    <row r="124" spans="2:10" ht="12.75">
      <c r="B124" s="36">
        <v>4</v>
      </c>
      <c r="C124" s="36">
        <v>11</v>
      </c>
      <c r="D124" s="73">
        <f t="shared" si="21"/>
        <v>0</v>
      </c>
      <c r="E124" s="73">
        <f t="shared" si="22"/>
        <v>0</v>
      </c>
      <c r="F124" s="36">
        <f t="shared" si="16"/>
        <v>0</v>
      </c>
      <c r="G124" s="36">
        <f t="shared" si="17"/>
        <v>0</v>
      </c>
      <c r="H124" s="36">
        <f t="shared" si="18"/>
        <v>0</v>
      </c>
      <c r="I124" s="36">
        <f t="shared" si="19"/>
        <v>0</v>
      </c>
      <c r="J124" s="36">
        <f t="shared" si="20"/>
        <v>0</v>
      </c>
    </row>
    <row r="125" spans="2:10" ht="12.75">
      <c r="B125" s="36">
        <v>4</v>
      </c>
      <c r="C125" s="36">
        <v>12</v>
      </c>
      <c r="D125" s="73">
        <f t="shared" si="21"/>
        <v>0</v>
      </c>
      <c r="E125" s="73">
        <f t="shared" si="22"/>
        <v>0</v>
      </c>
      <c r="F125" s="36">
        <f t="shared" si="16"/>
        <v>0</v>
      </c>
      <c r="G125" s="36">
        <f t="shared" si="17"/>
        <v>0</v>
      </c>
      <c r="H125" s="36">
        <f t="shared" si="18"/>
        <v>0</v>
      </c>
      <c r="I125" s="36">
        <f t="shared" si="19"/>
        <v>0</v>
      </c>
      <c r="J125" s="36">
        <f t="shared" si="20"/>
        <v>0</v>
      </c>
    </row>
    <row r="126" spans="2:10" ht="12.75">
      <c r="B126" s="36">
        <v>5</v>
      </c>
      <c r="C126" s="36">
        <v>1</v>
      </c>
      <c r="D126" s="73">
        <f aca="true" t="shared" si="23" ref="D126:D137">L$10</f>
        <v>0</v>
      </c>
      <c r="E126" s="73">
        <f aca="true" t="shared" si="24" ref="E126:E137">L27</f>
        <v>0</v>
      </c>
      <c r="F126" s="36">
        <f t="shared" si="16"/>
        <v>0</v>
      </c>
      <c r="G126" s="36">
        <f t="shared" si="17"/>
        <v>0</v>
      </c>
      <c r="H126" s="36">
        <f t="shared" si="18"/>
        <v>0</v>
      </c>
      <c r="I126" s="36">
        <f t="shared" si="19"/>
        <v>0</v>
      </c>
      <c r="J126" s="36">
        <f t="shared" si="20"/>
        <v>0</v>
      </c>
    </row>
    <row r="127" spans="2:10" ht="12.75">
      <c r="B127" s="36">
        <v>5</v>
      </c>
      <c r="C127" s="36">
        <v>2</v>
      </c>
      <c r="D127" s="73">
        <f t="shared" si="23"/>
        <v>0</v>
      </c>
      <c r="E127" s="73">
        <f t="shared" si="24"/>
        <v>0</v>
      </c>
      <c r="F127" s="36">
        <f t="shared" si="16"/>
        <v>0</v>
      </c>
      <c r="G127" s="36">
        <f t="shared" si="17"/>
        <v>0</v>
      </c>
      <c r="H127" s="36">
        <f t="shared" si="18"/>
        <v>0</v>
      </c>
      <c r="I127" s="36">
        <f t="shared" si="19"/>
        <v>0</v>
      </c>
      <c r="J127" s="36">
        <f t="shared" si="20"/>
        <v>0</v>
      </c>
    </row>
    <row r="128" spans="2:10" ht="12.75">
      <c r="B128" s="36">
        <v>5</v>
      </c>
      <c r="C128" s="36">
        <v>3</v>
      </c>
      <c r="D128" s="73">
        <f t="shared" si="23"/>
        <v>0</v>
      </c>
      <c r="E128" s="73">
        <f t="shared" si="24"/>
        <v>0</v>
      </c>
      <c r="F128" s="36">
        <f t="shared" si="16"/>
        <v>0</v>
      </c>
      <c r="G128" s="36">
        <f t="shared" si="17"/>
        <v>0</v>
      </c>
      <c r="H128" s="36">
        <f t="shared" si="18"/>
        <v>0</v>
      </c>
      <c r="I128" s="36">
        <f t="shared" si="19"/>
        <v>0</v>
      </c>
      <c r="J128" s="36">
        <f t="shared" si="20"/>
        <v>0</v>
      </c>
    </row>
    <row r="129" spans="2:10" ht="12.75">
      <c r="B129" s="36">
        <v>5</v>
      </c>
      <c r="C129" s="36">
        <v>4</v>
      </c>
      <c r="D129" s="73">
        <f t="shared" si="23"/>
        <v>0</v>
      </c>
      <c r="E129" s="73">
        <f t="shared" si="24"/>
        <v>0</v>
      </c>
      <c r="F129" s="36">
        <f t="shared" si="16"/>
        <v>0</v>
      </c>
      <c r="G129" s="36">
        <f t="shared" si="17"/>
        <v>0</v>
      </c>
      <c r="H129" s="36">
        <f t="shared" si="18"/>
        <v>0</v>
      </c>
      <c r="I129" s="36">
        <f t="shared" si="19"/>
        <v>0</v>
      </c>
      <c r="J129" s="36">
        <f t="shared" si="20"/>
        <v>0</v>
      </c>
    </row>
    <row r="130" spans="2:10" ht="12.75">
      <c r="B130" s="36">
        <v>5</v>
      </c>
      <c r="C130" s="36">
        <v>5</v>
      </c>
      <c r="D130" s="73">
        <f t="shared" si="23"/>
        <v>0</v>
      </c>
      <c r="E130" s="73">
        <f t="shared" si="24"/>
        <v>0</v>
      </c>
      <c r="F130" s="36">
        <f t="shared" si="16"/>
        <v>0</v>
      </c>
      <c r="G130" s="36">
        <f t="shared" si="17"/>
        <v>0</v>
      </c>
      <c r="H130" s="36">
        <f t="shared" si="18"/>
        <v>0</v>
      </c>
      <c r="I130" s="36">
        <f t="shared" si="19"/>
        <v>0</v>
      </c>
      <c r="J130" s="36">
        <f t="shared" si="20"/>
        <v>0</v>
      </c>
    </row>
    <row r="131" spans="2:10" ht="12.75">
      <c r="B131" s="36">
        <v>5</v>
      </c>
      <c r="C131" s="36">
        <v>6</v>
      </c>
      <c r="D131" s="73">
        <f t="shared" si="23"/>
        <v>0</v>
      </c>
      <c r="E131" s="73">
        <f t="shared" si="24"/>
        <v>0</v>
      </c>
      <c r="F131" s="36">
        <f t="shared" si="16"/>
        <v>0</v>
      </c>
      <c r="G131" s="36">
        <f t="shared" si="17"/>
        <v>0</v>
      </c>
      <c r="H131" s="36">
        <f t="shared" si="18"/>
        <v>0</v>
      </c>
      <c r="I131" s="36">
        <f t="shared" si="19"/>
        <v>0</v>
      </c>
      <c r="J131" s="36">
        <f t="shared" si="20"/>
        <v>0</v>
      </c>
    </row>
    <row r="132" spans="2:10" ht="12.75">
      <c r="B132" s="36">
        <v>5</v>
      </c>
      <c r="C132" s="36">
        <v>7</v>
      </c>
      <c r="D132" s="73">
        <f t="shared" si="23"/>
        <v>0</v>
      </c>
      <c r="E132" s="73">
        <f t="shared" si="24"/>
        <v>0</v>
      </c>
      <c r="F132" s="36">
        <f t="shared" si="16"/>
        <v>0</v>
      </c>
      <c r="G132" s="36">
        <f t="shared" si="17"/>
        <v>0</v>
      </c>
      <c r="H132" s="36">
        <f t="shared" si="18"/>
        <v>0</v>
      </c>
      <c r="I132" s="36">
        <f t="shared" si="19"/>
        <v>0</v>
      </c>
      <c r="J132" s="36">
        <f t="shared" si="20"/>
        <v>0</v>
      </c>
    </row>
    <row r="133" spans="2:10" ht="12.75">
      <c r="B133" s="36">
        <v>5</v>
      </c>
      <c r="C133" s="36">
        <v>8</v>
      </c>
      <c r="D133" s="73">
        <f t="shared" si="23"/>
        <v>0</v>
      </c>
      <c r="E133" s="73">
        <f t="shared" si="24"/>
        <v>0</v>
      </c>
      <c r="F133" s="36">
        <f t="shared" si="16"/>
        <v>0</v>
      </c>
      <c r="G133" s="36">
        <f t="shared" si="17"/>
        <v>0</v>
      </c>
      <c r="H133" s="36">
        <f t="shared" si="18"/>
        <v>0</v>
      </c>
      <c r="I133" s="36">
        <f t="shared" si="19"/>
        <v>0</v>
      </c>
      <c r="J133" s="36">
        <f t="shared" si="20"/>
        <v>0</v>
      </c>
    </row>
    <row r="134" spans="2:10" ht="12.75">
      <c r="B134" s="36">
        <v>5</v>
      </c>
      <c r="C134" s="36">
        <v>9</v>
      </c>
      <c r="D134" s="73">
        <f t="shared" si="23"/>
        <v>0</v>
      </c>
      <c r="E134" s="73">
        <f t="shared" si="24"/>
        <v>0</v>
      </c>
      <c r="F134" s="36">
        <f t="shared" si="16"/>
        <v>0</v>
      </c>
      <c r="G134" s="36">
        <f t="shared" si="17"/>
        <v>0</v>
      </c>
      <c r="H134" s="36">
        <f t="shared" si="18"/>
        <v>0</v>
      </c>
      <c r="I134" s="36">
        <f t="shared" si="19"/>
        <v>0</v>
      </c>
      <c r="J134" s="36">
        <f t="shared" si="20"/>
        <v>0</v>
      </c>
    </row>
    <row r="135" spans="2:10" ht="12.75">
      <c r="B135" s="36">
        <v>5</v>
      </c>
      <c r="C135" s="36">
        <v>10</v>
      </c>
      <c r="D135" s="73">
        <f t="shared" si="23"/>
        <v>0</v>
      </c>
      <c r="E135" s="73">
        <f t="shared" si="24"/>
        <v>0</v>
      </c>
      <c r="F135" s="36">
        <f t="shared" si="16"/>
        <v>0</v>
      </c>
      <c r="G135" s="36">
        <f t="shared" si="17"/>
        <v>0</v>
      </c>
      <c r="H135" s="36">
        <f t="shared" si="18"/>
        <v>0</v>
      </c>
      <c r="I135" s="36">
        <f t="shared" si="19"/>
        <v>0</v>
      </c>
      <c r="J135" s="36">
        <f t="shared" si="20"/>
        <v>0</v>
      </c>
    </row>
    <row r="136" spans="2:10" ht="12.75">
      <c r="B136" s="36">
        <v>5</v>
      </c>
      <c r="C136" s="36">
        <v>11</v>
      </c>
      <c r="D136" s="73">
        <f t="shared" si="23"/>
        <v>0</v>
      </c>
      <c r="E136" s="73">
        <f t="shared" si="24"/>
        <v>0</v>
      </c>
      <c r="F136" s="36">
        <f t="shared" si="16"/>
        <v>0</v>
      </c>
      <c r="G136" s="36">
        <f t="shared" si="17"/>
        <v>0</v>
      </c>
      <c r="H136" s="36">
        <f t="shared" si="18"/>
        <v>0</v>
      </c>
      <c r="I136" s="36">
        <f t="shared" si="19"/>
        <v>0</v>
      </c>
      <c r="J136" s="36">
        <f t="shared" si="20"/>
        <v>0</v>
      </c>
    </row>
    <row r="137" spans="2:10" ht="12.75">
      <c r="B137" s="36">
        <v>5</v>
      </c>
      <c r="C137" s="36">
        <v>12</v>
      </c>
      <c r="D137" s="73">
        <f t="shared" si="23"/>
        <v>0</v>
      </c>
      <c r="E137" s="73">
        <f t="shared" si="24"/>
        <v>0</v>
      </c>
      <c r="F137" s="36">
        <f t="shared" si="16"/>
        <v>0</v>
      </c>
      <c r="G137" s="36">
        <f t="shared" si="17"/>
        <v>0</v>
      </c>
      <c r="H137" s="36">
        <f t="shared" si="18"/>
        <v>0</v>
      </c>
      <c r="I137" s="36">
        <f t="shared" si="19"/>
        <v>0</v>
      </c>
      <c r="J137" s="36">
        <f t="shared" si="20"/>
        <v>0</v>
      </c>
    </row>
    <row r="138" spans="4:10" ht="12.75">
      <c r="D138" s="83" t="s">
        <v>82</v>
      </c>
      <c r="E138" s="84" t="s">
        <v>71</v>
      </c>
      <c r="F138" s="84" t="s">
        <v>70</v>
      </c>
      <c r="G138" s="84" t="s">
        <v>73</v>
      </c>
      <c r="H138" s="83"/>
      <c r="I138" s="85" t="s">
        <v>78</v>
      </c>
      <c r="J138" s="84" t="s">
        <v>84</v>
      </c>
    </row>
    <row r="139" spans="4:10" ht="12.75">
      <c r="D139" s="36">
        <f>SUM(D78:D137)</f>
        <v>0</v>
      </c>
      <c r="E139" s="60">
        <f>SUM(E78:E137)</f>
        <v>0</v>
      </c>
      <c r="F139" s="60">
        <f>SUM(F78:F137)</f>
        <v>0</v>
      </c>
      <c r="G139" s="60">
        <f>SUM(G78:G137)</f>
        <v>0</v>
      </c>
      <c r="I139" s="60">
        <f>SUM(I78:I137)</f>
        <v>0</v>
      </c>
      <c r="J139" s="60">
        <f>SUM(J78:J137)</f>
        <v>0</v>
      </c>
    </row>
    <row r="140" ht="12.75">
      <c r="D140" s="60" t="s">
        <v>75</v>
      </c>
    </row>
    <row r="141" spans="4:6" ht="12.75">
      <c r="D141" s="82">
        <f>AVERAGE(D78:D137)</f>
        <v>0</v>
      </c>
      <c r="E141" s="62" t="s">
        <v>74</v>
      </c>
      <c r="F141" s="36" t="e">
        <f>SQRT((F139-E48*E139-E47*G139)/((B10*B13)-2))</f>
        <v>#DIV/0!</v>
      </c>
    </row>
    <row r="142" spans="5:6" ht="12.75">
      <c r="E142" s="62" t="s">
        <v>98</v>
      </c>
      <c r="F142" s="36" t="e">
        <f>E47*SQRT(I139)/F141</f>
        <v>#DIV/0!</v>
      </c>
    </row>
    <row r="143" spans="5:6" ht="12.75">
      <c r="E143" s="62" t="s">
        <v>99</v>
      </c>
      <c r="F143" s="36" t="e">
        <f>E48/(F141*SQRT((1/(B10*B13))+D141^2/I139))</f>
        <v>#DIV/0!</v>
      </c>
    </row>
    <row r="144" spans="5:6" ht="12.75">
      <c r="E144" s="62" t="s">
        <v>79</v>
      </c>
      <c r="F144" s="36">
        <v>2.00172</v>
      </c>
    </row>
  </sheetData>
  <sheetProtection/>
  <mergeCells count="152">
    <mergeCell ref="A1:O1"/>
    <mergeCell ref="J37:K37"/>
    <mergeCell ref="L37:M37"/>
    <mergeCell ref="F38:G38"/>
    <mergeCell ref="H38:I38"/>
    <mergeCell ref="J38:K38"/>
    <mergeCell ref="L38:M38"/>
    <mergeCell ref="H37:I37"/>
    <mergeCell ref="H36:I36"/>
    <mergeCell ref="J36:K36"/>
    <mergeCell ref="H35:I35"/>
    <mergeCell ref="H34:I34"/>
    <mergeCell ref="J34:K34"/>
    <mergeCell ref="L34:M34"/>
    <mergeCell ref="J35:K35"/>
    <mergeCell ref="L35:M35"/>
    <mergeCell ref="H32:I32"/>
    <mergeCell ref="J32:K32"/>
    <mergeCell ref="L32:M32"/>
    <mergeCell ref="J33:K33"/>
    <mergeCell ref="L33:M33"/>
    <mergeCell ref="H30:I30"/>
    <mergeCell ref="J30:K30"/>
    <mergeCell ref="L30:M30"/>
    <mergeCell ref="J31:K31"/>
    <mergeCell ref="L31:M31"/>
    <mergeCell ref="D38:E38"/>
    <mergeCell ref="F27:G27"/>
    <mergeCell ref="H27:I27"/>
    <mergeCell ref="F29:G29"/>
    <mergeCell ref="H29:I29"/>
    <mergeCell ref="F31:G31"/>
    <mergeCell ref="H31:I31"/>
    <mergeCell ref="F33:G33"/>
    <mergeCell ref="H33:I33"/>
    <mergeCell ref="D34:E34"/>
    <mergeCell ref="D35:E35"/>
    <mergeCell ref="D36:E36"/>
    <mergeCell ref="D37:E37"/>
    <mergeCell ref="L23:M23"/>
    <mergeCell ref="L25:M25"/>
    <mergeCell ref="J25:K25"/>
    <mergeCell ref="J27:K27"/>
    <mergeCell ref="L27:M27"/>
    <mergeCell ref="F28:G28"/>
    <mergeCell ref="H28:I28"/>
    <mergeCell ref="L44:M44"/>
    <mergeCell ref="L19:M19"/>
    <mergeCell ref="L20:M20"/>
    <mergeCell ref="L21:M21"/>
    <mergeCell ref="L22:M22"/>
    <mergeCell ref="L28:M28"/>
    <mergeCell ref="L29:M29"/>
    <mergeCell ref="L36:M36"/>
    <mergeCell ref="J44:K44"/>
    <mergeCell ref="L12:M12"/>
    <mergeCell ref="L13:M13"/>
    <mergeCell ref="L14:M14"/>
    <mergeCell ref="L15:M15"/>
    <mergeCell ref="L16:M16"/>
    <mergeCell ref="L17:M17"/>
    <mergeCell ref="L18:M18"/>
    <mergeCell ref="J20:K20"/>
    <mergeCell ref="L42:M42"/>
    <mergeCell ref="J21:K21"/>
    <mergeCell ref="J22:K22"/>
    <mergeCell ref="J23:K23"/>
    <mergeCell ref="H42:I42"/>
    <mergeCell ref="H22:I22"/>
    <mergeCell ref="H23:I23"/>
    <mergeCell ref="H25:I25"/>
    <mergeCell ref="J42:K42"/>
    <mergeCell ref="J28:K28"/>
    <mergeCell ref="J29:K29"/>
    <mergeCell ref="H44:I44"/>
    <mergeCell ref="J12:K12"/>
    <mergeCell ref="J13:K13"/>
    <mergeCell ref="J14:K14"/>
    <mergeCell ref="J15:K15"/>
    <mergeCell ref="J16:K16"/>
    <mergeCell ref="J17:K17"/>
    <mergeCell ref="J18:K18"/>
    <mergeCell ref="J19:K19"/>
    <mergeCell ref="H21:I21"/>
    <mergeCell ref="F44:G44"/>
    <mergeCell ref="H12:I12"/>
    <mergeCell ref="H13:I13"/>
    <mergeCell ref="H14:I14"/>
    <mergeCell ref="H15:I15"/>
    <mergeCell ref="H16:I16"/>
    <mergeCell ref="H17:I17"/>
    <mergeCell ref="H18:I18"/>
    <mergeCell ref="H19:I19"/>
    <mergeCell ref="H20:I20"/>
    <mergeCell ref="F18:G18"/>
    <mergeCell ref="F19:G19"/>
    <mergeCell ref="F20:G20"/>
    <mergeCell ref="F21:G21"/>
    <mergeCell ref="L10:M10"/>
    <mergeCell ref="D22:E22"/>
    <mergeCell ref="D23:E23"/>
    <mergeCell ref="D42:E42"/>
    <mergeCell ref="F12:G12"/>
    <mergeCell ref="F13:G13"/>
    <mergeCell ref="F14:G14"/>
    <mergeCell ref="F15:G15"/>
    <mergeCell ref="F16:G16"/>
    <mergeCell ref="F17:G17"/>
    <mergeCell ref="H9:I9"/>
    <mergeCell ref="J9:K9"/>
    <mergeCell ref="D10:E10"/>
    <mergeCell ref="F10:G10"/>
    <mergeCell ref="H10:I10"/>
    <mergeCell ref="J10:K10"/>
    <mergeCell ref="L9:M9"/>
    <mergeCell ref="C5:E5"/>
    <mergeCell ref="C6:E6"/>
    <mergeCell ref="D12:E12"/>
    <mergeCell ref="C7:E7"/>
    <mergeCell ref="H5:J5"/>
    <mergeCell ref="H6:J6"/>
    <mergeCell ref="H7:J7"/>
    <mergeCell ref="D9:E9"/>
    <mergeCell ref="F9:G9"/>
    <mergeCell ref="D13:E13"/>
    <mergeCell ref="D14:E14"/>
    <mergeCell ref="D15:E15"/>
    <mergeCell ref="D16:E16"/>
    <mergeCell ref="D17:E17"/>
    <mergeCell ref="D18:E18"/>
    <mergeCell ref="D19:E19"/>
    <mergeCell ref="D20:E20"/>
    <mergeCell ref="D21:E21"/>
    <mergeCell ref="D25:E25"/>
    <mergeCell ref="D44:E44"/>
    <mergeCell ref="D27:E27"/>
    <mergeCell ref="D28:E28"/>
    <mergeCell ref="D29:E29"/>
    <mergeCell ref="D30:E30"/>
    <mergeCell ref="D31:E31"/>
    <mergeCell ref="D32:E32"/>
    <mergeCell ref="D33:E33"/>
    <mergeCell ref="F22:G22"/>
    <mergeCell ref="F23:G23"/>
    <mergeCell ref="F25:G25"/>
    <mergeCell ref="F42:G42"/>
    <mergeCell ref="F35:G35"/>
    <mergeCell ref="F37:G37"/>
    <mergeCell ref="F30:G30"/>
    <mergeCell ref="F32:G32"/>
    <mergeCell ref="F34:G34"/>
    <mergeCell ref="F36:G36"/>
  </mergeCells>
  <printOptions horizontalCentered="1" verticalCentered="1"/>
  <pageMargins left="0.5" right="0.5" top="0.25" bottom="0.25" header="0.5" footer="0.5"/>
  <pageSetup horizontalDpi="300" verticalDpi="300" orientation="portrait" scale="66" r:id="rId2"/>
  <headerFooter alignWithMargins="0">
    <oddFooter>&amp;LForm 827  Rev. A  08-Jul-03</oddFooter>
  </headerFooter>
  <drawing r:id="rId1"/>
</worksheet>
</file>

<file path=xl/worksheets/sheet7.xml><?xml version="1.0" encoding="utf-8"?>
<worksheet xmlns="http://schemas.openxmlformats.org/spreadsheetml/2006/main" xmlns:r="http://schemas.openxmlformats.org/officeDocument/2006/relationships">
  <dimension ref="A1:V144"/>
  <sheetViews>
    <sheetView workbookViewId="0" topLeftCell="A1">
      <selection activeCell="B2" sqref="B2"/>
    </sheetView>
  </sheetViews>
  <sheetFormatPr defaultColWidth="9.140625" defaultRowHeight="12.75"/>
  <cols>
    <col min="1" max="1" width="9.8515625" style="36" customWidth="1"/>
    <col min="2" max="3" width="9.140625" style="36" customWidth="1"/>
    <col min="4" max="4" width="7.28125" style="36" customWidth="1"/>
    <col min="5" max="5" width="9.140625" style="36" customWidth="1"/>
    <col min="6" max="6" width="8.57421875" style="36" customWidth="1"/>
    <col min="7" max="8" width="7.421875" style="36" customWidth="1"/>
    <col min="9" max="9" width="7.00390625" style="36" customWidth="1"/>
    <col min="10" max="10" width="8.57421875" style="36" customWidth="1"/>
    <col min="11" max="11" width="7.00390625" style="36" customWidth="1"/>
    <col min="12" max="12" width="8.140625" style="36" customWidth="1"/>
    <col min="13" max="13" width="8.00390625" style="36" customWidth="1"/>
    <col min="14" max="14" width="9.140625" style="36" customWidth="1"/>
    <col min="15" max="15" width="2.00390625" style="36" customWidth="1"/>
    <col min="16" max="16" width="17.8515625" style="36" bestFit="1" customWidth="1"/>
    <col min="17" max="20" width="9.140625" style="36" customWidth="1"/>
    <col min="21" max="21" width="15.7109375" style="36" customWidth="1"/>
    <col min="22" max="22" width="16.8515625" style="36" customWidth="1"/>
    <col min="23" max="16384" width="9.140625" style="36" customWidth="1"/>
  </cols>
  <sheetData>
    <row r="1" spans="1:16" ht="18">
      <c r="A1" s="250" t="s">
        <v>228</v>
      </c>
      <c r="B1" s="226"/>
      <c r="C1" s="226"/>
      <c r="D1" s="226"/>
      <c r="E1" s="226"/>
      <c r="F1" s="226"/>
      <c r="G1" s="226"/>
      <c r="H1" s="226"/>
      <c r="I1" s="226"/>
      <c r="J1" s="226"/>
      <c r="K1" s="226"/>
      <c r="L1" s="226"/>
      <c r="M1" s="226"/>
      <c r="N1" s="226"/>
      <c r="P1" s="61"/>
    </row>
    <row r="2" spans="1:16" ht="13.5" customHeight="1">
      <c r="A2" s="60"/>
      <c r="B2" s="60"/>
      <c r="C2" s="60"/>
      <c r="D2" s="60"/>
      <c r="E2" s="60"/>
      <c r="F2" s="60"/>
      <c r="G2" s="60"/>
      <c r="H2" s="60"/>
      <c r="I2" s="60"/>
      <c r="J2" s="60"/>
      <c r="K2" s="60"/>
      <c r="L2" s="60"/>
      <c r="M2" s="60"/>
      <c r="N2" s="60"/>
      <c r="P2" s="61"/>
    </row>
    <row r="3" ht="15" customHeight="1">
      <c r="A3" s="36" t="s">
        <v>95</v>
      </c>
    </row>
    <row r="4" ht="15" customHeight="1"/>
    <row r="5" spans="2:14" ht="15" customHeight="1">
      <c r="B5" s="62" t="s">
        <v>96</v>
      </c>
      <c r="C5" s="259"/>
      <c r="D5" s="259"/>
      <c r="E5" s="259"/>
      <c r="G5" s="62" t="s">
        <v>27</v>
      </c>
      <c r="H5" s="259"/>
      <c r="I5" s="259"/>
      <c r="J5" s="259"/>
      <c r="L5" s="62" t="s">
        <v>32</v>
      </c>
      <c r="M5" s="257"/>
      <c r="N5" s="257"/>
    </row>
    <row r="6" spans="2:15" ht="15" customHeight="1">
      <c r="B6" s="62" t="s">
        <v>26</v>
      </c>
      <c r="C6" s="255"/>
      <c r="D6" s="255"/>
      <c r="E6" s="255"/>
      <c r="G6" s="62" t="s">
        <v>28</v>
      </c>
      <c r="H6" s="255"/>
      <c r="I6" s="255"/>
      <c r="J6" s="255"/>
      <c r="L6" s="62" t="s">
        <v>31</v>
      </c>
      <c r="M6" s="258"/>
      <c r="N6" s="258"/>
      <c r="O6" s="184"/>
    </row>
    <row r="7" spans="2:10" ht="15" customHeight="1">
      <c r="B7" s="62" t="s">
        <v>38</v>
      </c>
      <c r="C7" s="255"/>
      <c r="D7" s="255"/>
      <c r="E7" s="255"/>
      <c r="G7" s="62" t="s">
        <v>29</v>
      </c>
      <c r="H7" s="255"/>
      <c r="I7" s="255"/>
      <c r="J7" s="255"/>
    </row>
    <row r="8" ht="15" customHeight="1" thickBot="1"/>
    <row r="9" spans="1:13" ht="15" customHeight="1">
      <c r="A9" s="64"/>
      <c r="B9" s="65" t="s">
        <v>39</v>
      </c>
      <c r="C9" s="66"/>
      <c r="D9" s="238">
        <v>1</v>
      </c>
      <c r="E9" s="239"/>
      <c r="F9" s="244">
        <v>2</v>
      </c>
      <c r="G9" s="244"/>
      <c r="H9" s="238">
        <v>3</v>
      </c>
      <c r="I9" s="239"/>
      <c r="J9" s="244">
        <v>4</v>
      </c>
      <c r="K9" s="244"/>
      <c r="L9" s="238">
        <v>5</v>
      </c>
      <c r="M9" s="239"/>
    </row>
    <row r="10" spans="1:13" ht="15" customHeight="1">
      <c r="A10" s="67" t="s">
        <v>85</v>
      </c>
      <c r="B10" s="60">
        <f>COUNT(D10:M10)</f>
        <v>5</v>
      </c>
      <c r="C10" s="68"/>
      <c r="D10" s="234">
        <v>2</v>
      </c>
      <c r="E10" s="235"/>
      <c r="F10" s="256">
        <v>4</v>
      </c>
      <c r="G10" s="256"/>
      <c r="H10" s="234">
        <v>6</v>
      </c>
      <c r="I10" s="235"/>
      <c r="J10" s="256">
        <v>8</v>
      </c>
      <c r="K10" s="256"/>
      <c r="L10" s="234">
        <v>10</v>
      </c>
      <c r="M10" s="235"/>
    </row>
    <row r="11" spans="1:13" ht="15" customHeight="1" thickBot="1">
      <c r="A11" s="70"/>
      <c r="B11" s="71"/>
      <c r="C11" s="71"/>
      <c r="D11" s="70"/>
      <c r="E11" s="72"/>
      <c r="F11" s="71"/>
      <c r="G11" s="71"/>
      <c r="H11" s="70"/>
      <c r="I11" s="72"/>
      <c r="J11" s="71"/>
      <c r="K11" s="71"/>
      <c r="L11" s="70"/>
      <c r="M11" s="72"/>
    </row>
    <row r="12" spans="2:13" ht="15" customHeight="1">
      <c r="B12" s="62" t="s">
        <v>97</v>
      </c>
      <c r="C12" s="62">
        <v>1</v>
      </c>
      <c r="D12" s="200">
        <v>2.7</v>
      </c>
      <c r="E12" s="201"/>
      <c r="F12" s="254">
        <v>5.1</v>
      </c>
      <c r="G12" s="254"/>
      <c r="H12" s="200">
        <v>5.8</v>
      </c>
      <c r="I12" s="201"/>
      <c r="J12" s="254">
        <v>7.6</v>
      </c>
      <c r="K12" s="254"/>
      <c r="L12" s="200">
        <v>9.1</v>
      </c>
      <c r="M12" s="201"/>
    </row>
    <row r="13" spans="1:13" ht="15" customHeight="1">
      <c r="A13" s="62" t="s">
        <v>86</v>
      </c>
      <c r="B13" s="60">
        <f>COUNT(C12:C23)</f>
        <v>12</v>
      </c>
      <c r="C13" s="62">
        <v>2</v>
      </c>
      <c r="D13" s="251">
        <v>2.5</v>
      </c>
      <c r="E13" s="252"/>
      <c r="F13" s="253">
        <v>3.9</v>
      </c>
      <c r="G13" s="253"/>
      <c r="H13" s="251">
        <v>5.7</v>
      </c>
      <c r="I13" s="252"/>
      <c r="J13" s="253">
        <v>7.7</v>
      </c>
      <c r="K13" s="253"/>
      <c r="L13" s="251">
        <v>9.3</v>
      </c>
      <c r="M13" s="252"/>
    </row>
    <row r="14" spans="3:13" ht="15" customHeight="1">
      <c r="C14" s="62">
        <v>3</v>
      </c>
      <c r="D14" s="251">
        <v>2.4</v>
      </c>
      <c r="E14" s="252"/>
      <c r="F14" s="253">
        <v>4.2</v>
      </c>
      <c r="G14" s="253"/>
      <c r="H14" s="251">
        <v>5.9</v>
      </c>
      <c r="I14" s="252"/>
      <c r="J14" s="253">
        <v>7.8</v>
      </c>
      <c r="K14" s="253"/>
      <c r="L14" s="251">
        <v>9.5</v>
      </c>
      <c r="M14" s="252"/>
    </row>
    <row r="15" spans="3:13" ht="15" customHeight="1">
      <c r="C15" s="62">
        <v>4</v>
      </c>
      <c r="D15" s="251">
        <v>2.5</v>
      </c>
      <c r="E15" s="252"/>
      <c r="F15" s="253">
        <v>5</v>
      </c>
      <c r="G15" s="253"/>
      <c r="H15" s="251">
        <v>5.9</v>
      </c>
      <c r="I15" s="252"/>
      <c r="J15" s="253">
        <v>7.7</v>
      </c>
      <c r="K15" s="253"/>
      <c r="L15" s="251">
        <v>9.3</v>
      </c>
      <c r="M15" s="252"/>
    </row>
    <row r="16" spans="3:22" ht="15" customHeight="1">
      <c r="C16" s="62">
        <v>5</v>
      </c>
      <c r="D16" s="251">
        <v>2.7</v>
      </c>
      <c r="E16" s="252"/>
      <c r="F16" s="253">
        <v>3.8</v>
      </c>
      <c r="G16" s="253"/>
      <c r="H16" s="251">
        <v>6</v>
      </c>
      <c r="I16" s="252"/>
      <c r="J16" s="253">
        <v>7.8</v>
      </c>
      <c r="K16" s="253"/>
      <c r="L16" s="251">
        <v>9.4</v>
      </c>
      <c r="M16" s="252"/>
      <c r="O16" s="73"/>
      <c r="V16" s="74"/>
    </row>
    <row r="17" spans="3:13" ht="15" customHeight="1">
      <c r="C17" s="62">
        <v>6</v>
      </c>
      <c r="D17" s="251">
        <v>2.3</v>
      </c>
      <c r="E17" s="252"/>
      <c r="F17" s="253">
        <v>3.9</v>
      </c>
      <c r="G17" s="253"/>
      <c r="H17" s="251">
        <v>6.1</v>
      </c>
      <c r="I17" s="252"/>
      <c r="J17" s="253">
        <v>7.8</v>
      </c>
      <c r="K17" s="253"/>
      <c r="L17" s="251">
        <v>9.5</v>
      </c>
      <c r="M17" s="252"/>
    </row>
    <row r="18" spans="3:13" ht="15" customHeight="1">
      <c r="C18" s="62">
        <v>7</v>
      </c>
      <c r="D18" s="251">
        <v>2.5</v>
      </c>
      <c r="E18" s="252"/>
      <c r="F18" s="253">
        <v>3.9</v>
      </c>
      <c r="G18" s="253"/>
      <c r="H18" s="251">
        <v>6</v>
      </c>
      <c r="I18" s="252"/>
      <c r="J18" s="253">
        <v>7.8</v>
      </c>
      <c r="K18" s="253"/>
      <c r="L18" s="251">
        <v>9.5</v>
      </c>
      <c r="M18" s="252"/>
    </row>
    <row r="19" spans="3:13" ht="15" customHeight="1">
      <c r="C19" s="62">
        <v>8</v>
      </c>
      <c r="D19" s="251">
        <v>2.5</v>
      </c>
      <c r="E19" s="252"/>
      <c r="F19" s="253">
        <v>3.9</v>
      </c>
      <c r="G19" s="253"/>
      <c r="H19" s="251">
        <v>6.1</v>
      </c>
      <c r="I19" s="252"/>
      <c r="J19" s="253">
        <v>7.7</v>
      </c>
      <c r="K19" s="253"/>
      <c r="L19" s="251">
        <v>9.5</v>
      </c>
      <c r="M19" s="252"/>
    </row>
    <row r="20" spans="3:13" ht="15" customHeight="1">
      <c r="C20" s="62">
        <v>9</v>
      </c>
      <c r="D20" s="251">
        <v>2.4</v>
      </c>
      <c r="E20" s="252"/>
      <c r="F20" s="253">
        <v>3.9</v>
      </c>
      <c r="G20" s="253"/>
      <c r="H20" s="251">
        <v>6.4</v>
      </c>
      <c r="I20" s="252"/>
      <c r="J20" s="253">
        <v>7.8</v>
      </c>
      <c r="K20" s="253"/>
      <c r="L20" s="251">
        <v>9.6</v>
      </c>
      <c r="M20" s="252"/>
    </row>
    <row r="21" spans="3:16" ht="15" customHeight="1">
      <c r="C21" s="62">
        <v>10</v>
      </c>
      <c r="D21" s="251">
        <v>2.4</v>
      </c>
      <c r="E21" s="252"/>
      <c r="F21" s="253">
        <v>4</v>
      </c>
      <c r="G21" s="253"/>
      <c r="H21" s="251">
        <v>6.3</v>
      </c>
      <c r="I21" s="252"/>
      <c r="J21" s="253">
        <v>7.5</v>
      </c>
      <c r="K21" s="253"/>
      <c r="L21" s="251">
        <v>9.2</v>
      </c>
      <c r="M21" s="252"/>
      <c r="O21" s="60"/>
      <c r="P21" s="60"/>
    </row>
    <row r="22" spans="3:13" ht="15" customHeight="1">
      <c r="C22" s="62">
        <v>11</v>
      </c>
      <c r="D22" s="251">
        <v>2.6</v>
      </c>
      <c r="E22" s="252"/>
      <c r="F22" s="253">
        <v>4.1</v>
      </c>
      <c r="G22" s="253"/>
      <c r="H22" s="251">
        <v>6</v>
      </c>
      <c r="I22" s="252"/>
      <c r="J22" s="253">
        <v>7.6</v>
      </c>
      <c r="K22" s="253"/>
      <c r="L22" s="251">
        <v>9.3</v>
      </c>
      <c r="M22" s="252"/>
    </row>
    <row r="23" spans="3:13" ht="15" customHeight="1">
      <c r="C23" s="62">
        <v>12</v>
      </c>
      <c r="D23" s="251">
        <v>2.4</v>
      </c>
      <c r="E23" s="252"/>
      <c r="F23" s="253">
        <v>3.8</v>
      </c>
      <c r="G23" s="253"/>
      <c r="H23" s="251">
        <v>6.1</v>
      </c>
      <c r="I23" s="252"/>
      <c r="J23" s="253">
        <v>7.7</v>
      </c>
      <c r="K23" s="253"/>
      <c r="L23" s="251">
        <v>9.4</v>
      </c>
      <c r="M23" s="252"/>
    </row>
    <row r="24" spans="3:15" ht="15" customHeight="1">
      <c r="C24" s="62"/>
      <c r="D24" s="54"/>
      <c r="E24" s="55"/>
      <c r="F24" s="69"/>
      <c r="G24" s="69"/>
      <c r="H24" s="54"/>
      <c r="I24" s="55"/>
      <c r="J24" s="69"/>
      <c r="K24" s="69"/>
      <c r="L24" s="54"/>
      <c r="M24" s="55"/>
      <c r="O24" s="60"/>
    </row>
    <row r="25" spans="3:16" ht="15" customHeight="1">
      <c r="C25" s="62" t="s">
        <v>35</v>
      </c>
      <c r="D25" s="234">
        <f>SUM(D12:D23)/12</f>
        <v>2.4916666666666667</v>
      </c>
      <c r="E25" s="235"/>
      <c r="F25" s="198">
        <f>SUM(F12:F23)/12</f>
        <v>4.124999999999999</v>
      </c>
      <c r="G25" s="198"/>
      <c r="H25" s="234">
        <f>SUM(H12:H23)/12</f>
        <v>6.024999999999999</v>
      </c>
      <c r="I25" s="235"/>
      <c r="J25" s="198">
        <f>SUM(J12:J23)/12</f>
        <v>7.708333333333333</v>
      </c>
      <c r="K25" s="198"/>
      <c r="L25" s="234">
        <f>SUM(L12:L23)/12</f>
        <v>9.383333333333333</v>
      </c>
      <c r="M25" s="235"/>
      <c r="O25" s="73"/>
      <c r="P25" s="75"/>
    </row>
    <row r="26" spans="4:13" ht="15" customHeight="1">
      <c r="D26" s="76"/>
      <c r="E26" s="77"/>
      <c r="F26" s="73"/>
      <c r="G26" s="73"/>
      <c r="H26" s="76"/>
      <c r="I26" s="77"/>
      <c r="J26" s="73"/>
      <c r="K26" s="73"/>
      <c r="L26" s="76"/>
      <c r="M26" s="77"/>
    </row>
    <row r="27" spans="3:13" ht="15" customHeight="1">
      <c r="C27" s="62">
        <v>1</v>
      </c>
      <c r="D27" s="200">
        <f>D12-D$10</f>
        <v>0.7000000000000002</v>
      </c>
      <c r="E27" s="201"/>
      <c r="F27" s="200">
        <f>F12-F$10</f>
        <v>1.0999999999999996</v>
      </c>
      <c r="G27" s="201"/>
      <c r="H27" s="200">
        <f>H12-H$10</f>
        <v>-0.20000000000000018</v>
      </c>
      <c r="I27" s="201"/>
      <c r="J27" s="200">
        <f>J12-J$10</f>
        <v>-0.40000000000000036</v>
      </c>
      <c r="K27" s="201"/>
      <c r="L27" s="200">
        <f>L12-L$10</f>
        <v>-0.9000000000000004</v>
      </c>
      <c r="M27" s="201"/>
    </row>
    <row r="28" spans="3:15" ht="15" customHeight="1">
      <c r="C28" s="62">
        <v>2</v>
      </c>
      <c r="D28" s="200">
        <f aca="true" t="shared" si="0" ref="D28:L38">D13-D$10</f>
        <v>0.5</v>
      </c>
      <c r="E28" s="201"/>
      <c r="F28" s="200">
        <f t="shared" si="0"/>
        <v>-0.10000000000000009</v>
      </c>
      <c r="G28" s="201"/>
      <c r="H28" s="200">
        <f t="shared" si="0"/>
        <v>-0.2999999999999998</v>
      </c>
      <c r="I28" s="201"/>
      <c r="J28" s="200">
        <f t="shared" si="0"/>
        <v>-0.2999999999999998</v>
      </c>
      <c r="K28" s="201"/>
      <c r="L28" s="200">
        <f t="shared" si="0"/>
        <v>-0.6999999999999993</v>
      </c>
      <c r="M28" s="201"/>
      <c r="O28" s="60"/>
    </row>
    <row r="29" spans="3:13" ht="15" customHeight="1">
      <c r="C29" s="62">
        <v>3</v>
      </c>
      <c r="D29" s="200">
        <f t="shared" si="0"/>
        <v>0.3999999999999999</v>
      </c>
      <c r="E29" s="201"/>
      <c r="F29" s="200">
        <f t="shared" si="0"/>
        <v>0.20000000000000018</v>
      </c>
      <c r="G29" s="201"/>
      <c r="H29" s="200">
        <f t="shared" si="0"/>
        <v>-0.09999999999999964</v>
      </c>
      <c r="I29" s="201"/>
      <c r="J29" s="200">
        <f t="shared" si="0"/>
        <v>-0.20000000000000018</v>
      </c>
      <c r="K29" s="201"/>
      <c r="L29" s="200">
        <f t="shared" si="0"/>
        <v>-0.5</v>
      </c>
      <c r="M29" s="201"/>
    </row>
    <row r="30" spans="3:13" ht="15" customHeight="1">
      <c r="C30" s="62">
        <v>4</v>
      </c>
      <c r="D30" s="200">
        <f t="shared" si="0"/>
        <v>0.5</v>
      </c>
      <c r="E30" s="201"/>
      <c r="F30" s="200">
        <f t="shared" si="0"/>
        <v>1</v>
      </c>
      <c r="G30" s="201"/>
      <c r="H30" s="200">
        <f t="shared" si="0"/>
        <v>-0.09999999999999964</v>
      </c>
      <c r="I30" s="201"/>
      <c r="J30" s="200">
        <f t="shared" si="0"/>
        <v>-0.2999999999999998</v>
      </c>
      <c r="K30" s="201"/>
      <c r="L30" s="200">
        <f t="shared" si="0"/>
        <v>-0.6999999999999993</v>
      </c>
      <c r="M30" s="201"/>
    </row>
    <row r="31" spans="3:15" ht="15" customHeight="1">
      <c r="C31" s="62">
        <v>5</v>
      </c>
      <c r="D31" s="200">
        <f t="shared" si="0"/>
        <v>0.7000000000000002</v>
      </c>
      <c r="E31" s="201"/>
      <c r="F31" s="200">
        <f t="shared" si="0"/>
        <v>-0.20000000000000018</v>
      </c>
      <c r="G31" s="201"/>
      <c r="H31" s="200">
        <f t="shared" si="0"/>
        <v>0</v>
      </c>
      <c r="I31" s="201"/>
      <c r="J31" s="200">
        <f t="shared" si="0"/>
        <v>-0.20000000000000018</v>
      </c>
      <c r="K31" s="201"/>
      <c r="L31" s="200">
        <f t="shared" si="0"/>
        <v>-0.5999999999999996</v>
      </c>
      <c r="M31" s="201"/>
      <c r="O31" s="62"/>
    </row>
    <row r="32" spans="3:15" ht="15" customHeight="1">
      <c r="C32" s="62">
        <v>6</v>
      </c>
      <c r="D32" s="200">
        <f t="shared" si="0"/>
        <v>0.2999999999999998</v>
      </c>
      <c r="E32" s="201"/>
      <c r="F32" s="200">
        <f t="shared" si="0"/>
        <v>-0.10000000000000009</v>
      </c>
      <c r="G32" s="201"/>
      <c r="H32" s="200">
        <f t="shared" si="0"/>
        <v>0.09999999999999964</v>
      </c>
      <c r="I32" s="201"/>
      <c r="J32" s="200">
        <f t="shared" si="0"/>
        <v>-0.20000000000000018</v>
      </c>
      <c r="K32" s="201"/>
      <c r="L32" s="200">
        <f t="shared" si="0"/>
        <v>-0.5</v>
      </c>
      <c r="M32" s="201"/>
      <c r="O32" s="78"/>
    </row>
    <row r="33" spans="3:13" ht="15" customHeight="1">
      <c r="C33" s="62">
        <v>7</v>
      </c>
      <c r="D33" s="200">
        <f t="shared" si="0"/>
        <v>0.5</v>
      </c>
      <c r="E33" s="201"/>
      <c r="F33" s="200">
        <f t="shared" si="0"/>
        <v>-0.10000000000000009</v>
      </c>
      <c r="G33" s="201"/>
      <c r="H33" s="200">
        <f t="shared" si="0"/>
        <v>0</v>
      </c>
      <c r="I33" s="201"/>
      <c r="J33" s="200">
        <f t="shared" si="0"/>
        <v>-0.20000000000000018</v>
      </c>
      <c r="K33" s="201"/>
      <c r="L33" s="200">
        <f t="shared" si="0"/>
        <v>-0.5</v>
      </c>
      <c r="M33" s="201"/>
    </row>
    <row r="34" spans="3:16" ht="15" customHeight="1">
      <c r="C34" s="62">
        <v>8</v>
      </c>
      <c r="D34" s="200">
        <f t="shared" si="0"/>
        <v>0.5</v>
      </c>
      <c r="E34" s="201"/>
      <c r="F34" s="200">
        <f t="shared" si="0"/>
        <v>-0.10000000000000009</v>
      </c>
      <c r="G34" s="201"/>
      <c r="H34" s="200">
        <f t="shared" si="0"/>
        <v>0.09999999999999964</v>
      </c>
      <c r="I34" s="201"/>
      <c r="J34" s="200">
        <f t="shared" si="0"/>
        <v>-0.2999999999999998</v>
      </c>
      <c r="K34" s="201"/>
      <c r="L34" s="200">
        <f t="shared" si="0"/>
        <v>-0.5</v>
      </c>
      <c r="M34" s="201"/>
      <c r="O34" s="60"/>
      <c r="P34" s="60"/>
    </row>
    <row r="35" spans="3:13" ht="15" customHeight="1">
      <c r="C35" s="62">
        <v>9</v>
      </c>
      <c r="D35" s="200">
        <f t="shared" si="0"/>
        <v>0.3999999999999999</v>
      </c>
      <c r="E35" s="201"/>
      <c r="F35" s="200">
        <f t="shared" si="0"/>
        <v>-0.10000000000000009</v>
      </c>
      <c r="G35" s="201"/>
      <c r="H35" s="200">
        <f t="shared" si="0"/>
        <v>0.40000000000000036</v>
      </c>
      <c r="I35" s="201"/>
      <c r="J35" s="200">
        <f t="shared" si="0"/>
        <v>-0.20000000000000018</v>
      </c>
      <c r="K35" s="201"/>
      <c r="L35" s="200">
        <f t="shared" si="0"/>
        <v>-0.40000000000000036</v>
      </c>
      <c r="M35" s="201"/>
    </row>
    <row r="36" spans="3:13" ht="15" customHeight="1">
      <c r="C36" s="62">
        <v>10</v>
      </c>
      <c r="D36" s="200">
        <f t="shared" si="0"/>
        <v>0.3999999999999999</v>
      </c>
      <c r="E36" s="201"/>
      <c r="F36" s="200">
        <f t="shared" si="0"/>
        <v>0</v>
      </c>
      <c r="G36" s="201"/>
      <c r="H36" s="200">
        <f t="shared" si="0"/>
        <v>0.2999999999999998</v>
      </c>
      <c r="I36" s="201"/>
      <c r="J36" s="200">
        <f t="shared" si="0"/>
        <v>-0.5</v>
      </c>
      <c r="K36" s="201"/>
      <c r="L36" s="200">
        <f t="shared" si="0"/>
        <v>-0.8000000000000007</v>
      </c>
      <c r="M36" s="201"/>
    </row>
    <row r="37" spans="3:13" ht="15" customHeight="1">
      <c r="C37" s="62">
        <v>11</v>
      </c>
      <c r="D37" s="200">
        <f t="shared" si="0"/>
        <v>0.6000000000000001</v>
      </c>
      <c r="E37" s="201"/>
      <c r="F37" s="200">
        <f t="shared" si="0"/>
        <v>0.09999999999999964</v>
      </c>
      <c r="G37" s="201"/>
      <c r="H37" s="200">
        <f t="shared" si="0"/>
        <v>0</v>
      </c>
      <c r="I37" s="201"/>
      <c r="J37" s="200">
        <f t="shared" si="0"/>
        <v>-0.40000000000000036</v>
      </c>
      <c r="K37" s="201"/>
      <c r="L37" s="200">
        <f t="shared" si="0"/>
        <v>-0.6999999999999993</v>
      </c>
      <c r="M37" s="201"/>
    </row>
    <row r="38" spans="3:13" ht="15" customHeight="1">
      <c r="C38" s="62">
        <v>12</v>
      </c>
      <c r="D38" s="200">
        <f t="shared" si="0"/>
        <v>0.3999999999999999</v>
      </c>
      <c r="E38" s="201"/>
      <c r="F38" s="200">
        <f t="shared" si="0"/>
        <v>-0.20000000000000018</v>
      </c>
      <c r="G38" s="201"/>
      <c r="H38" s="200">
        <f t="shared" si="0"/>
        <v>0.09999999999999964</v>
      </c>
      <c r="I38" s="201"/>
      <c r="J38" s="200">
        <f t="shared" si="0"/>
        <v>-0.2999999999999998</v>
      </c>
      <c r="K38" s="201"/>
      <c r="L38" s="200">
        <f t="shared" si="0"/>
        <v>-0.5999999999999996</v>
      </c>
      <c r="M38" s="201"/>
    </row>
    <row r="39" spans="4:13" ht="15" customHeight="1">
      <c r="D39" s="76"/>
      <c r="E39" s="77"/>
      <c r="F39" s="73"/>
      <c r="G39" s="73"/>
      <c r="H39" s="76"/>
      <c r="I39" s="77"/>
      <c r="J39" s="73"/>
      <c r="K39" s="73"/>
      <c r="L39" s="76"/>
      <c r="M39" s="77"/>
    </row>
    <row r="40" ht="15" customHeight="1"/>
    <row r="41" spans="4:13" ht="15" customHeight="1">
      <c r="D41" s="79"/>
      <c r="E41" s="80"/>
      <c r="H41" s="79"/>
      <c r="I41" s="80"/>
      <c r="L41" s="79"/>
      <c r="M41" s="80"/>
    </row>
    <row r="42" spans="3:13" ht="15" customHeight="1">
      <c r="C42" s="62" t="s">
        <v>64</v>
      </c>
      <c r="D42" s="234">
        <f>D25-D10</f>
        <v>0.4916666666666667</v>
      </c>
      <c r="E42" s="248"/>
      <c r="F42" s="198">
        <f>F25-F10</f>
        <v>0.12499999999999911</v>
      </c>
      <c r="G42" s="199"/>
      <c r="H42" s="234">
        <f>H25-H10</f>
        <v>0.02499999999999858</v>
      </c>
      <c r="I42" s="248"/>
      <c r="J42" s="198">
        <f>J25-J10</f>
        <v>-0.29166666666666696</v>
      </c>
      <c r="K42" s="199"/>
      <c r="L42" s="234">
        <f>L25-L10</f>
        <v>-0.6166666666666671</v>
      </c>
      <c r="M42" s="248"/>
    </row>
    <row r="43" spans="4:21" ht="15" customHeight="1">
      <c r="D43" s="79"/>
      <c r="E43" s="80"/>
      <c r="H43" s="79"/>
      <c r="I43" s="80"/>
      <c r="L43" s="79"/>
      <c r="M43" s="80"/>
      <c r="O43" s="73"/>
      <c r="U43" s="73"/>
    </row>
    <row r="44" spans="3:13" ht="15" customHeight="1" thickBot="1">
      <c r="C44" s="62" t="s">
        <v>40</v>
      </c>
      <c r="D44" s="236">
        <f>(MAX(D12:D23)-MIN(D12:D23))</f>
        <v>0.40000000000000036</v>
      </c>
      <c r="E44" s="237"/>
      <c r="F44" s="236">
        <f>(MAX(F12:F23)-MIN(F12:F23))</f>
        <v>1.2999999999999998</v>
      </c>
      <c r="G44" s="237"/>
      <c r="H44" s="236">
        <f>(MAX(H12:H23)-MIN(H12:H23))</f>
        <v>0.7000000000000002</v>
      </c>
      <c r="I44" s="237"/>
      <c r="J44" s="236">
        <f>(MAX(J12:J23)-MIN(J12:J23))</f>
        <v>0.2999999999999998</v>
      </c>
      <c r="K44" s="237"/>
      <c r="L44" s="236">
        <f>(MAX(L12:L23)-MIN(L12:L23))</f>
        <v>0.5</v>
      </c>
      <c r="M44" s="237"/>
    </row>
    <row r="45" ht="15" customHeight="1"/>
    <row r="46" ht="15" customHeight="1"/>
    <row r="47" spans="4:13" ht="15" customHeight="1">
      <c r="D47" s="62" t="s">
        <v>81</v>
      </c>
      <c r="E47" s="36">
        <f>(G139-(D139*E139/(B10*B13)))/(J139-(D139^2/(B10*B13)))</f>
        <v>-0.1316666666666667</v>
      </c>
      <c r="G47" s="36" t="str">
        <f>IF(ABS(F142)&gt;F$144,"Slope is NOT Acceptable","Slope is Acceptable")</f>
        <v>Slope is NOT Acceptable</v>
      </c>
      <c r="L47" s="62"/>
      <c r="M47" s="81"/>
    </row>
    <row r="48" spans="4:13" ht="15" customHeight="1">
      <c r="D48" s="62" t="s">
        <v>80</v>
      </c>
      <c r="E48" s="36">
        <f>(E139-E47*D139)/(B10*B13)</f>
        <v>0.7366666666666669</v>
      </c>
      <c r="G48" s="36" t="str">
        <f>IF(ABS(F143)&gt;F$144,"Intercept is NOT Acceptable","Intercept is Acceptable")</f>
        <v>Intercept is NOT Acceptable</v>
      </c>
      <c r="L48" s="62"/>
      <c r="M48" s="81"/>
    </row>
    <row r="49" spans="4:13" ht="15" customHeight="1">
      <c r="D49" s="62" t="s">
        <v>41</v>
      </c>
      <c r="E49" s="73">
        <f>(G139-(D139*E139)/(B10*B13))^2/((J139-D139^2/(B10*B13))*(F139-E139^2/(B10*B13)))</f>
        <v>0.7143184159322429</v>
      </c>
      <c r="G49" s="36" t="str">
        <f>IF(E49&gt;0.799,"Goodness of Fit is Acceptable","Goodness of Fit is NOT Acceptable")</f>
        <v>Goodness of Fit is NOT Acceptable</v>
      </c>
      <c r="I49" s="62"/>
      <c r="L49" s="62"/>
      <c r="M49" s="81"/>
    </row>
    <row r="50" spans="4:13" ht="12.75">
      <c r="D50" s="62"/>
      <c r="E50" s="81"/>
      <c r="L50" s="62"/>
      <c r="M50" s="81"/>
    </row>
    <row r="51" spans="4:5" ht="12.75">
      <c r="D51" s="62"/>
      <c r="E51" s="81"/>
    </row>
    <row r="77" spans="2:10" ht="12.75">
      <c r="B77" s="36" t="s">
        <v>65</v>
      </c>
      <c r="C77" s="36" t="s">
        <v>66</v>
      </c>
      <c r="D77" s="36" t="s">
        <v>68</v>
      </c>
      <c r="E77" s="36" t="s">
        <v>67</v>
      </c>
      <c r="F77" s="36" t="s">
        <v>69</v>
      </c>
      <c r="G77" s="36" t="s">
        <v>72</v>
      </c>
      <c r="H77" s="36" t="s">
        <v>76</v>
      </c>
      <c r="I77" s="36" t="s">
        <v>77</v>
      </c>
      <c r="J77" s="36" t="s">
        <v>83</v>
      </c>
    </row>
    <row r="78" spans="2:10" ht="12.75">
      <c r="B78" s="36">
        <v>1</v>
      </c>
      <c r="C78" s="36">
        <v>1</v>
      </c>
      <c r="D78" s="73">
        <f>D$10</f>
        <v>2</v>
      </c>
      <c r="E78" s="73">
        <f>D27</f>
        <v>0.7000000000000002</v>
      </c>
      <c r="F78" s="36">
        <f>E78^2</f>
        <v>0.49000000000000027</v>
      </c>
      <c r="G78" s="36">
        <f>D78*E78</f>
        <v>1.4000000000000004</v>
      </c>
      <c r="H78" s="36">
        <f aca="true" t="shared" si="1" ref="H78:H109">D78-D$141</f>
        <v>-4</v>
      </c>
      <c r="I78" s="36">
        <f>H78^2</f>
        <v>16</v>
      </c>
      <c r="J78" s="36">
        <f>D78^2</f>
        <v>4</v>
      </c>
    </row>
    <row r="79" spans="2:10" ht="12.75">
      <c r="B79" s="36">
        <v>1</v>
      </c>
      <c r="C79" s="36">
        <v>2</v>
      </c>
      <c r="D79" s="73">
        <f aca="true" t="shared" si="2" ref="D79:D89">D$10</f>
        <v>2</v>
      </c>
      <c r="E79" s="73">
        <f aca="true" t="shared" si="3" ref="E79:E89">D28</f>
        <v>0.5</v>
      </c>
      <c r="F79" s="36">
        <f aca="true" t="shared" si="4" ref="F79:F137">E79^2</f>
        <v>0.25</v>
      </c>
      <c r="G79" s="36">
        <f aca="true" t="shared" si="5" ref="G79:G137">D79*E79</f>
        <v>1</v>
      </c>
      <c r="H79" s="36">
        <f t="shared" si="1"/>
        <v>-4</v>
      </c>
      <c r="I79" s="36">
        <f aca="true" t="shared" si="6" ref="I79:I137">H79^2</f>
        <v>16</v>
      </c>
      <c r="J79" s="36">
        <f aca="true" t="shared" si="7" ref="J79:J137">D79^2</f>
        <v>4</v>
      </c>
    </row>
    <row r="80" spans="2:10" ht="12.75">
      <c r="B80" s="36">
        <v>1</v>
      </c>
      <c r="C80" s="36">
        <v>3</v>
      </c>
      <c r="D80" s="73">
        <f t="shared" si="2"/>
        <v>2</v>
      </c>
      <c r="E80" s="73">
        <f t="shared" si="3"/>
        <v>0.3999999999999999</v>
      </c>
      <c r="F80" s="36">
        <f t="shared" si="4"/>
        <v>0.15999999999999992</v>
      </c>
      <c r="G80" s="36">
        <f t="shared" si="5"/>
        <v>0.7999999999999998</v>
      </c>
      <c r="H80" s="36">
        <f t="shared" si="1"/>
        <v>-4</v>
      </c>
      <c r="I80" s="36">
        <f t="shared" si="6"/>
        <v>16</v>
      </c>
      <c r="J80" s="36">
        <f t="shared" si="7"/>
        <v>4</v>
      </c>
    </row>
    <row r="81" spans="2:10" ht="12.75">
      <c r="B81" s="36">
        <v>1</v>
      </c>
      <c r="C81" s="36">
        <v>4</v>
      </c>
      <c r="D81" s="73">
        <f t="shared" si="2"/>
        <v>2</v>
      </c>
      <c r="E81" s="73">
        <f t="shared" si="3"/>
        <v>0.5</v>
      </c>
      <c r="F81" s="36">
        <f t="shared" si="4"/>
        <v>0.25</v>
      </c>
      <c r="G81" s="36">
        <f t="shared" si="5"/>
        <v>1</v>
      </c>
      <c r="H81" s="36">
        <f t="shared" si="1"/>
        <v>-4</v>
      </c>
      <c r="I81" s="36">
        <f t="shared" si="6"/>
        <v>16</v>
      </c>
      <c r="J81" s="36">
        <f t="shared" si="7"/>
        <v>4</v>
      </c>
    </row>
    <row r="82" spans="2:10" ht="12.75">
      <c r="B82" s="36">
        <v>1</v>
      </c>
      <c r="C82" s="36">
        <v>5</v>
      </c>
      <c r="D82" s="73">
        <f t="shared" si="2"/>
        <v>2</v>
      </c>
      <c r="E82" s="73">
        <f t="shared" si="3"/>
        <v>0.7000000000000002</v>
      </c>
      <c r="F82" s="36">
        <f t="shared" si="4"/>
        <v>0.49000000000000027</v>
      </c>
      <c r="G82" s="36">
        <f t="shared" si="5"/>
        <v>1.4000000000000004</v>
      </c>
      <c r="H82" s="36">
        <f t="shared" si="1"/>
        <v>-4</v>
      </c>
      <c r="I82" s="36">
        <f t="shared" si="6"/>
        <v>16</v>
      </c>
      <c r="J82" s="36">
        <f t="shared" si="7"/>
        <v>4</v>
      </c>
    </row>
    <row r="83" spans="2:10" ht="12.75">
      <c r="B83" s="36">
        <v>1</v>
      </c>
      <c r="C83" s="36">
        <v>6</v>
      </c>
      <c r="D83" s="73">
        <f t="shared" si="2"/>
        <v>2</v>
      </c>
      <c r="E83" s="73">
        <f t="shared" si="3"/>
        <v>0.2999999999999998</v>
      </c>
      <c r="F83" s="36">
        <f t="shared" si="4"/>
        <v>0.0899999999999999</v>
      </c>
      <c r="G83" s="36">
        <f t="shared" si="5"/>
        <v>0.5999999999999996</v>
      </c>
      <c r="H83" s="36">
        <f t="shared" si="1"/>
        <v>-4</v>
      </c>
      <c r="I83" s="36">
        <f t="shared" si="6"/>
        <v>16</v>
      </c>
      <c r="J83" s="36">
        <f t="shared" si="7"/>
        <v>4</v>
      </c>
    </row>
    <row r="84" spans="2:10" ht="12.75">
      <c r="B84" s="36">
        <v>1</v>
      </c>
      <c r="C84" s="36">
        <v>7</v>
      </c>
      <c r="D84" s="73">
        <f t="shared" si="2"/>
        <v>2</v>
      </c>
      <c r="E84" s="73">
        <f t="shared" si="3"/>
        <v>0.5</v>
      </c>
      <c r="F84" s="36">
        <f t="shared" si="4"/>
        <v>0.25</v>
      </c>
      <c r="G84" s="36">
        <f t="shared" si="5"/>
        <v>1</v>
      </c>
      <c r="H84" s="36">
        <f t="shared" si="1"/>
        <v>-4</v>
      </c>
      <c r="I84" s="36">
        <f t="shared" si="6"/>
        <v>16</v>
      </c>
      <c r="J84" s="36">
        <f t="shared" si="7"/>
        <v>4</v>
      </c>
    </row>
    <row r="85" spans="2:10" ht="12.75">
      <c r="B85" s="36">
        <v>1</v>
      </c>
      <c r="C85" s="36">
        <v>8</v>
      </c>
      <c r="D85" s="73">
        <f t="shared" si="2"/>
        <v>2</v>
      </c>
      <c r="E85" s="73">
        <f t="shared" si="3"/>
        <v>0.5</v>
      </c>
      <c r="F85" s="36">
        <f t="shared" si="4"/>
        <v>0.25</v>
      </c>
      <c r="G85" s="36">
        <f t="shared" si="5"/>
        <v>1</v>
      </c>
      <c r="H85" s="36">
        <f t="shared" si="1"/>
        <v>-4</v>
      </c>
      <c r="I85" s="36">
        <f t="shared" si="6"/>
        <v>16</v>
      </c>
      <c r="J85" s="36">
        <f t="shared" si="7"/>
        <v>4</v>
      </c>
    </row>
    <row r="86" spans="2:10" ht="12.75">
      <c r="B86" s="36">
        <v>1</v>
      </c>
      <c r="C86" s="36">
        <v>9</v>
      </c>
      <c r="D86" s="73">
        <f t="shared" si="2"/>
        <v>2</v>
      </c>
      <c r="E86" s="73">
        <f t="shared" si="3"/>
        <v>0.3999999999999999</v>
      </c>
      <c r="F86" s="36">
        <f t="shared" si="4"/>
        <v>0.15999999999999992</v>
      </c>
      <c r="G86" s="36">
        <f t="shared" si="5"/>
        <v>0.7999999999999998</v>
      </c>
      <c r="H86" s="36">
        <f t="shared" si="1"/>
        <v>-4</v>
      </c>
      <c r="I86" s="36">
        <f t="shared" si="6"/>
        <v>16</v>
      </c>
      <c r="J86" s="36">
        <f t="shared" si="7"/>
        <v>4</v>
      </c>
    </row>
    <row r="87" spans="2:10" ht="12.75">
      <c r="B87" s="36">
        <v>1</v>
      </c>
      <c r="C87" s="36">
        <v>10</v>
      </c>
      <c r="D87" s="73">
        <f t="shared" si="2"/>
        <v>2</v>
      </c>
      <c r="E87" s="73">
        <f t="shared" si="3"/>
        <v>0.3999999999999999</v>
      </c>
      <c r="F87" s="36">
        <f t="shared" si="4"/>
        <v>0.15999999999999992</v>
      </c>
      <c r="G87" s="36">
        <f t="shared" si="5"/>
        <v>0.7999999999999998</v>
      </c>
      <c r="H87" s="36">
        <f t="shared" si="1"/>
        <v>-4</v>
      </c>
      <c r="I87" s="36">
        <f t="shared" si="6"/>
        <v>16</v>
      </c>
      <c r="J87" s="36">
        <f t="shared" si="7"/>
        <v>4</v>
      </c>
    </row>
    <row r="88" spans="2:10" ht="12.75">
      <c r="B88" s="36">
        <v>1</v>
      </c>
      <c r="C88" s="36">
        <v>11</v>
      </c>
      <c r="D88" s="73">
        <f t="shared" si="2"/>
        <v>2</v>
      </c>
      <c r="E88" s="73">
        <f t="shared" si="3"/>
        <v>0.6000000000000001</v>
      </c>
      <c r="F88" s="36">
        <f t="shared" si="4"/>
        <v>0.3600000000000001</v>
      </c>
      <c r="G88" s="36">
        <f t="shared" si="5"/>
        <v>1.2000000000000002</v>
      </c>
      <c r="H88" s="36">
        <f t="shared" si="1"/>
        <v>-4</v>
      </c>
      <c r="I88" s="36">
        <f t="shared" si="6"/>
        <v>16</v>
      </c>
      <c r="J88" s="36">
        <f t="shared" si="7"/>
        <v>4</v>
      </c>
    </row>
    <row r="89" spans="2:10" ht="12.75">
      <c r="B89" s="36">
        <v>1</v>
      </c>
      <c r="C89" s="36">
        <v>12</v>
      </c>
      <c r="D89" s="73">
        <f t="shared" si="2"/>
        <v>2</v>
      </c>
      <c r="E89" s="73">
        <f t="shared" si="3"/>
        <v>0.3999999999999999</v>
      </c>
      <c r="F89" s="36">
        <f t="shared" si="4"/>
        <v>0.15999999999999992</v>
      </c>
      <c r="G89" s="36">
        <f t="shared" si="5"/>
        <v>0.7999999999999998</v>
      </c>
      <c r="H89" s="36">
        <f t="shared" si="1"/>
        <v>-4</v>
      </c>
      <c r="I89" s="36">
        <f t="shared" si="6"/>
        <v>16</v>
      </c>
      <c r="J89" s="36">
        <f t="shared" si="7"/>
        <v>4</v>
      </c>
    </row>
    <row r="90" spans="2:10" ht="12.75">
      <c r="B90" s="36">
        <v>2</v>
      </c>
      <c r="C90" s="36">
        <v>1</v>
      </c>
      <c r="D90" s="73">
        <f>F$10</f>
        <v>4</v>
      </c>
      <c r="E90" s="73">
        <f>F27</f>
        <v>1.0999999999999996</v>
      </c>
      <c r="F90" s="36">
        <f t="shared" si="4"/>
        <v>1.2099999999999993</v>
      </c>
      <c r="G90" s="36">
        <f t="shared" si="5"/>
        <v>4.399999999999999</v>
      </c>
      <c r="H90" s="36">
        <f t="shared" si="1"/>
        <v>-2</v>
      </c>
      <c r="I90" s="36">
        <f t="shared" si="6"/>
        <v>4</v>
      </c>
      <c r="J90" s="36">
        <f t="shared" si="7"/>
        <v>16</v>
      </c>
    </row>
    <row r="91" spans="2:10" ht="12.75">
      <c r="B91" s="36">
        <v>2</v>
      </c>
      <c r="C91" s="36">
        <v>2</v>
      </c>
      <c r="D91" s="73">
        <f aca="true" t="shared" si="8" ref="D91:D101">F$10</f>
        <v>4</v>
      </c>
      <c r="E91" s="73">
        <f aca="true" t="shared" si="9" ref="E91:E100">F28</f>
        <v>-0.10000000000000009</v>
      </c>
      <c r="F91" s="36">
        <f t="shared" si="4"/>
        <v>0.010000000000000018</v>
      </c>
      <c r="G91" s="36">
        <f t="shared" si="5"/>
        <v>-0.40000000000000036</v>
      </c>
      <c r="H91" s="36">
        <f t="shared" si="1"/>
        <v>-2</v>
      </c>
      <c r="I91" s="36">
        <f t="shared" si="6"/>
        <v>4</v>
      </c>
      <c r="J91" s="36">
        <f t="shared" si="7"/>
        <v>16</v>
      </c>
    </row>
    <row r="92" spans="2:10" ht="12.75">
      <c r="B92" s="36">
        <v>2</v>
      </c>
      <c r="C92" s="36">
        <v>3</v>
      </c>
      <c r="D92" s="73">
        <f t="shared" si="8"/>
        <v>4</v>
      </c>
      <c r="E92" s="73">
        <f t="shared" si="9"/>
        <v>0.20000000000000018</v>
      </c>
      <c r="F92" s="36">
        <f t="shared" si="4"/>
        <v>0.04000000000000007</v>
      </c>
      <c r="G92" s="36">
        <f t="shared" si="5"/>
        <v>0.8000000000000007</v>
      </c>
      <c r="H92" s="36">
        <f t="shared" si="1"/>
        <v>-2</v>
      </c>
      <c r="I92" s="36">
        <f t="shared" si="6"/>
        <v>4</v>
      </c>
      <c r="J92" s="36">
        <f t="shared" si="7"/>
        <v>16</v>
      </c>
    </row>
    <row r="93" spans="2:10" ht="12.75">
      <c r="B93" s="36">
        <v>2</v>
      </c>
      <c r="C93" s="36">
        <v>4</v>
      </c>
      <c r="D93" s="73">
        <f t="shared" si="8"/>
        <v>4</v>
      </c>
      <c r="E93" s="73">
        <f t="shared" si="9"/>
        <v>1</v>
      </c>
      <c r="F93" s="36">
        <f t="shared" si="4"/>
        <v>1</v>
      </c>
      <c r="G93" s="36">
        <f t="shared" si="5"/>
        <v>4</v>
      </c>
      <c r="H93" s="36">
        <f t="shared" si="1"/>
        <v>-2</v>
      </c>
      <c r="I93" s="36">
        <f t="shared" si="6"/>
        <v>4</v>
      </c>
      <c r="J93" s="36">
        <f t="shared" si="7"/>
        <v>16</v>
      </c>
    </row>
    <row r="94" spans="2:10" ht="12.75">
      <c r="B94" s="36">
        <v>2</v>
      </c>
      <c r="C94" s="36">
        <v>5</v>
      </c>
      <c r="D94" s="73">
        <f t="shared" si="8"/>
        <v>4</v>
      </c>
      <c r="E94" s="73">
        <f t="shared" si="9"/>
        <v>-0.20000000000000018</v>
      </c>
      <c r="F94" s="36">
        <f t="shared" si="4"/>
        <v>0.04000000000000007</v>
      </c>
      <c r="G94" s="36">
        <f t="shared" si="5"/>
        <v>-0.8000000000000007</v>
      </c>
      <c r="H94" s="36">
        <f t="shared" si="1"/>
        <v>-2</v>
      </c>
      <c r="I94" s="36">
        <f t="shared" si="6"/>
        <v>4</v>
      </c>
      <c r="J94" s="36">
        <f t="shared" si="7"/>
        <v>16</v>
      </c>
    </row>
    <row r="95" spans="2:10" ht="12.75">
      <c r="B95" s="36">
        <v>2</v>
      </c>
      <c r="C95" s="36">
        <v>6</v>
      </c>
      <c r="D95" s="73">
        <f t="shared" si="8"/>
        <v>4</v>
      </c>
      <c r="E95" s="73">
        <f t="shared" si="9"/>
        <v>-0.10000000000000009</v>
      </c>
      <c r="F95" s="36">
        <f t="shared" si="4"/>
        <v>0.010000000000000018</v>
      </c>
      <c r="G95" s="36">
        <f t="shared" si="5"/>
        <v>-0.40000000000000036</v>
      </c>
      <c r="H95" s="36">
        <f t="shared" si="1"/>
        <v>-2</v>
      </c>
      <c r="I95" s="36">
        <f t="shared" si="6"/>
        <v>4</v>
      </c>
      <c r="J95" s="36">
        <f t="shared" si="7"/>
        <v>16</v>
      </c>
    </row>
    <row r="96" spans="2:10" ht="12.75">
      <c r="B96" s="36">
        <v>2</v>
      </c>
      <c r="C96" s="36">
        <v>7</v>
      </c>
      <c r="D96" s="73">
        <f t="shared" si="8"/>
        <v>4</v>
      </c>
      <c r="E96" s="73">
        <f t="shared" si="9"/>
        <v>-0.10000000000000009</v>
      </c>
      <c r="F96" s="36">
        <f t="shared" si="4"/>
        <v>0.010000000000000018</v>
      </c>
      <c r="G96" s="36">
        <f t="shared" si="5"/>
        <v>-0.40000000000000036</v>
      </c>
      <c r="H96" s="36">
        <f t="shared" si="1"/>
        <v>-2</v>
      </c>
      <c r="I96" s="36">
        <f t="shared" si="6"/>
        <v>4</v>
      </c>
      <c r="J96" s="36">
        <f t="shared" si="7"/>
        <v>16</v>
      </c>
    </row>
    <row r="97" spans="2:10" ht="12.75">
      <c r="B97" s="36">
        <v>2</v>
      </c>
      <c r="C97" s="36">
        <v>8</v>
      </c>
      <c r="D97" s="73">
        <f t="shared" si="8"/>
        <v>4</v>
      </c>
      <c r="E97" s="73">
        <f t="shared" si="9"/>
        <v>-0.10000000000000009</v>
      </c>
      <c r="F97" s="36">
        <f t="shared" si="4"/>
        <v>0.010000000000000018</v>
      </c>
      <c r="G97" s="36">
        <f t="shared" si="5"/>
        <v>-0.40000000000000036</v>
      </c>
      <c r="H97" s="36">
        <f t="shared" si="1"/>
        <v>-2</v>
      </c>
      <c r="I97" s="36">
        <f t="shared" si="6"/>
        <v>4</v>
      </c>
      <c r="J97" s="36">
        <f t="shared" si="7"/>
        <v>16</v>
      </c>
    </row>
    <row r="98" spans="2:10" ht="12.75">
      <c r="B98" s="36">
        <v>2</v>
      </c>
      <c r="C98" s="36">
        <v>9</v>
      </c>
      <c r="D98" s="73">
        <f t="shared" si="8"/>
        <v>4</v>
      </c>
      <c r="E98" s="73">
        <f t="shared" si="9"/>
        <v>-0.10000000000000009</v>
      </c>
      <c r="F98" s="36">
        <f t="shared" si="4"/>
        <v>0.010000000000000018</v>
      </c>
      <c r="G98" s="36">
        <f t="shared" si="5"/>
        <v>-0.40000000000000036</v>
      </c>
      <c r="H98" s="36">
        <f t="shared" si="1"/>
        <v>-2</v>
      </c>
      <c r="I98" s="36">
        <f t="shared" si="6"/>
        <v>4</v>
      </c>
      <c r="J98" s="36">
        <f t="shared" si="7"/>
        <v>16</v>
      </c>
    </row>
    <row r="99" spans="2:10" ht="12.75">
      <c r="B99" s="36">
        <v>2</v>
      </c>
      <c r="C99" s="36">
        <v>10</v>
      </c>
      <c r="D99" s="73">
        <f t="shared" si="8"/>
        <v>4</v>
      </c>
      <c r="E99" s="73">
        <f t="shared" si="9"/>
        <v>0</v>
      </c>
      <c r="F99" s="36">
        <f t="shared" si="4"/>
        <v>0</v>
      </c>
      <c r="G99" s="36">
        <f t="shared" si="5"/>
        <v>0</v>
      </c>
      <c r="H99" s="36">
        <f t="shared" si="1"/>
        <v>-2</v>
      </c>
      <c r="I99" s="36">
        <f t="shared" si="6"/>
        <v>4</v>
      </c>
      <c r="J99" s="36">
        <f t="shared" si="7"/>
        <v>16</v>
      </c>
    </row>
    <row r="100" spans="2:10" ht="12.75">
      <c r="B100" s="36">
        <v>2</v>
      </c>
      <c r="C100" s="36">
        <v>11</v>
      </c>
      <c r="D100" s="73">
        <f t="shared" si="8"/>
        <v>4</v>
      </c>
      <c r="E100" s="73">
        <f t="shared" si="9"/>
        <v>0.09999999999999964</v>
      </c>
      <c r="F100" s="36">
        <f t="shared" si="4"/>
        <v>0.009999999999999929</v>
      </c>
      <c r="G100" s="36">
        <f t="shared" si="5"/>
        <v>0.3999999999999986</v>
      </c>
      <c r="H100" s="36">
        <f t="shared" si="1"/>
        <v>-2</v>
      </c>
      <c r="I100" s="36">
        <f t="shared" si="6"/>
        <v>4</v>
      </c>
      <c r="J100" s="36">
        <f t="shared" si="7"/>
        <v>16</v>
      </c>
    </row>
    <row r="101" spans="2:10" ht="12.75">
      <c r="B101" s="36">
        <v>2</v>
      </c>
      <c r="C101" s="36">
        <v>12</v>
      </c>
      <c r="D101" s="73">
        <f t="shared" si="8"/>
        <v>4</v>
      </c>
      <c r="E101" s="73">
        <f>F38</f>
        <v>-0.20000000000000018</v>
      </c>
      <c r="F101" s="36">
        <f t="shared" si="4"/>
        <v>0.04000000000000007</v>
      </c>
      <c r="G101" s="36">
        <f t="shared" si="5"/>
        <v>-0.8000000000000007</v>
      </c>
      <c r="H101" s="36">
        <f t="shared" si="1"/>
        <v>-2</v>
      </c>
      <c r="I101" s="36">
        <f t="shared" si="6"/>
        <v>4</v>
      </c>
      <c r="J101" s="36">
        <f t="shared" si="7"/>
        <v>16</v>
      </c>
    </row>
    <row r="102" spans="2:10" ht="12.75">
      <c r="B102" s="36">
        <v>3</v>
      </c>
      <c r="C102" s="36">
        <v>1</v>
      </c>
      <c r="D102" s="73">
        <f>H$10</f>
        <v>6</v>
      </c>
      <c r="E102" s="73">
        <f>H27</f>
        <v>-0.20000000000000018</v>
      </c>
      <c r="F102" s="36">
        <f t="shared" si="4"/>
        <v>0.04000000000000007</v>
      </c>
      <c r="G102" s="36">
        <f t="shared" si="5"/>
        <v>-1.200000000000001</v>
      </c>
      <c r="H102" s="36">
        <f t="shared" si="1"/>
        <v>0</v>
      </c>
      <c r="I102" s="36">
        <f t="shared" si="6"/>
        <v>0</v>
      </c>
      <c r="J102" s="36">
        <f t="shared" si="7"/>
        <v>36</v>
      </c>
    </row>
    <row r="103" spans="2:10" ht="12.75">
      <c r="B103" s="36">
        <v>3</v>
      </c>
      <c r="C103" s="36">
        <v>2</v>
      </c>
      <c r="D103" s="73">
        <f aca="true" t="shared" si="10" ref="D103:D113">H$10</f>
        <v>6</v>
      </c>
      <c r="E103" s="73">
        <f aca="true" t="shared" si="11" ref="E103:E113">H28</f>
        <v>-0.2999999999999998</v>
      </c>
      <c r="F103" s="36">
        <f t="shared" si="4"/>
        <v>0.0899999999999999</v>
      </c>
      <c r="G103" s="36">
        <f t="shared" si="5"/>
        <v>-1.799999999999999</v>
      </c>
      <c r="H103" s="36">
        <f t="shared" si="1"/>
        <v>0</v>
      </c>
      <c r="I103" s="36">
        <f t="shared" si="6"/>
        <v>0</v>
      </c>
      <c r="J103" s="36">
        <f t="shared" si="7"/>
        <v>36</v>
      </c>
    </row>
    <row r="104" spans="2:10" ht="12.75">
      <c r="B104" s="36">
        <v>3</v>
      </c>
      <c r="C104" s="36">
        <v>3</v>
      </c>
      <c r="D104" s="73">
        <f t="shared" si="10"/>
        <v>6</v>
      </c>
      <c r="E104" s="73">
        <f t="shared" si="11"/>
        <v>-0.09999999999999964</v>
      </c>
      <c r="F104" s="36">
        <f t="shared" si="4"/>
        <v>0.009999999999999929</v>
      </c>
      <c r="G104" s="36">
        <f t="shared" si="5"/>
        <v>-0.5999999999999979</v>
      </c>
      <c r="H104" s="36">
        <f t="shared" si="1"/>
        <v>0</v>
      </c>
      <c r="I104" s="36">
        <f t="shared" si="6"/>
        <v>0</v>
      </c>
      <c r="J104" s="36">
        <f t="shared" si="7"/>
        <v>36</v>
      </c>
    </row>
    <row r="105" spans="2:10" ht="12.75">
      <c r="B105" s="36">
        <v>3</v>
      </c>
      <c r="C105" s="36">
        <v>4</v>
      </c>
      <c r="D105" s="73">
        <f t="shared" si="10"/>
        <v>6</v>
      </c>
      <c r="E105" s="73">
        <f t="shared" si="11"/>
        <v>-0.09999999999999964</v>
      </c>
      <c r="F105" s="36">
        <f t="shared" si="4"/>
        <v>0.009999999999999929</v>
      </c>
      <c r="G105" s="36">
        <f t="shared" si="5"/>
        <v>-0.5999999999999979</v>
      </c>
      <c r="H105" s="36">
        <f t="shared" si="1"/>
        <v>0</v>
      </c>
      <c r="I105" s="36">
        <f t="shared" si="6"/>
        <v>0</v>
      </c>
      <c r="J105" s="36">
        <f t="shared" si="7"/>
        <v>36</v>
      </c>
    </row>
    <row r="106" spans="2:10" ht="12.75">
      <c r="B106" s="36">
        <v>3</v>
      </c>
      <c r="C106" s="36">
        <v>5</v>
      </c>
      <c r="D106" s="73">
        <f t="shared" si="10"/>
        <v>6</v>
      </c>
      <c r="E106" s="73">
        <f t="shared" si="11"/>
        <v>0</v>
      </c>
      <c r="F106" s="36">
        <f t="shared" si="4"/>
        <v>0</v>
      </c>
      <c r="G106" s="36">
        <f t="shared" si="5"/>
        <v>0</v>
      </c>
      <c r="H106" s="36">
        <f t="shared" si="1"/>
        <v>0</v>
      </c>
      <c r="I106" s="36">
        <f t="shared" si="6"/>
        <v>0</v>
      </c>
      <c r="J106" s="36">
        <f t="shared" si="7"/>
        <v>36</v>
      </c>
    </row>
    <row r="107" spans="2:10" ht="12.75">
      <c r="B107" s="36">
        <v>3</v>
      </c>
      <c r="C107" s="36">
        <v>6</v>
      </c>
      <c r="D107" s="73">
        <f t="shared" si="10"/>
        <v>6</v>
      </c>
      <c r="E107" s="73">
        <f t="shared" si="11"/>
        <v>0.09999999999999964</v>
      </c>
      <c r="F107" s="36">
        <f t="shared" si="4"/>
        <v>0.009999999999999929</v>
      </c>
      <c r="G107" s="36">
        <f t="shared" si="5"/>
        <v>0.5999999999999979</v>
      </c>
      <c r="H107" s="36">
        <f t="shared" si="1"/>
        <v>0</v>
      </c>
      <c r="I107" s="36">
        <f t="shared" si="6"/>
        <v>0</v>
      </c>
      <c r="J107" s="36">
        <f t="shared" si="7"/>
        <v>36</v>
      </c>
    </row>
    <row r="108" spans="2:10" ht="12.75">
      <c r="B108" s="36">
        <v>3</v>
      </c>
      <c r="C108" s="36">
        <v>7</v>
      </c>
      <c r="D108" s="73">
        <f t="shared" si="10"/>
        <v>6</v>
      </c>
      <c r="E108" s="73">
        <f t="shared" si="11"/>
        <v>0</v>
      </c>
      <c r="F108" s="36">
        <f t="shared" si="4"/>
        <v>0</v>
      </c>
      <c r="G108" s="36">
        <f t="shared" si="5"/>
        <v>0</v>
      </c>
      <c r="H108" s="36">
        <f t="shared" si="1"/>
        <v>0</v>
      </c>
      <c r="I108" s="36">
        <f t="shared" si="6"/>
        <v>0</v>
      </c>
      <c r="J108" s="36">
        <f t="shared" si="7"/>
        <v>36</v>
      </c>
    </row>
    <row r="109" spans="2:10" ht="12.75">
      <c r="B109" s="36">
        <v>3</v>
      </c>
      <c r="C109" s="36">
        <v>8</v>
      </c>
      <c r="D109" s="73">
        <f t="shared" si="10"/>
        <v>6</v>
      </c>
      <c r="E109" s="73">
        <f t="shared" si="11"/>
        <v>0.09999999999999964</v>
      </c>
      <c r="F109" s="36">
        <f t="shared" si="4"/>
        <v>0.009999999999999929</v>
      </c>
      <c r="G109" s="36">
        <f t="shared" si="5"/>
        <v>0.5999999999999979</v>
      </c>
      <c r="H109" s="36">
        <f t="shared" si="1"/>
        <v>0</v>
      </c>
      <c r="I109" s="36">
        <f t="shared" si="6"/>
        <v>0</v>
      </c>
      <c r="J109" s="36">
        <f t="shared" si="7"/>
        <v>36</v>
      </c>
    </row>
    <row r="110" spans="2:10" ht="12.75">
      <c r="B110" s="36">
        <v>3</v>
      </c>
      <c r="C110" s="36">
        <v>9</v>
      </c>
      <c r="D110" s="73">
        <f t="shared" si="10"/>
        <v>6</v>
      </c>
      <c r="E110" s="73">
        <f t="shared" si="11"/>
        <v>0.40000000000000036</v>
      </c>
      <c r="F110" s="36">
        <f t="shared" si="4"/>
        <v>0.16000000000000028</v>
      </c>
      <c r="G110" s="36">
        <f t="shared" si="5"/>
        <v>2.400000000000002</v>
      </c>
      <c r="H110" s="36">
        <f aca="true" t="shared" si="12" ref="H110:H137">D110-D$141</f>
        <v>0</v>
      </c>
      <c r="I110" s="36">
        <f t="shared" si="6"/>
        <v>0</v>
      </c>
      <c r="J110" s="36">
        <f t="shared" si="7"/>
        <v>36</v>
      </c>
    </row>
    <row r="111" spans="2:10" ht="12.75">
      <c r="B111" s="36">
        <v>3</v>
      </c>
      <c r="C111" s="36">
        <v>10</v>
      </c>
      <c r="D111" s="73">
        <f t="shared" si="10"/>
        <v>6</v>
      </c>
      <c r="E111" s="73">
        <f t="shared" si="11"/>
        <v>0.2999999999999998</v>
      </c>
      <c r="F111" s="36">
        <f t="shared" si="4"/>
        <v>0.0899999999999999</v>
      </c>
      <c r="G111" s="36">
        <f t="shared" si="5"/>
        <v>1.799999999999999</v>
      </c>
      <c r="H111" s="36">
        <f t="shared" si="12"/>
        <v>0</v>
      </c>
      <c r="I111" s="36">
        <f t="shared" si="6"/>
        <v>0</v>
      </c>
      <c r="J111" s="36">
        <f t="shared" si="7"/>
        <v>36</v>
      </c>
    </row>
    <row r="112" spans="2:10" ht="12.75">
      <c r="B112" s="36">
        <v>3</v>
      </c>
      <c r="C112" s="36">
        <v>11</v>
      </c>
      <c r="D112" s="73">
        <f t="shared" si="10"/>
        <v>6</v>
      </c>
      <c r="E112" s="73">
        <f t="shared" si="11"/>
        <v>0</v>
      </c>
      <c r="F112" s="36">
        <f t="shared" si="4"/>
        <v>0</v>
      </c>
      <c r="G112" s="36">
        <f t="shared" si="5"/>
        <v>0</v>
      </c>
      <c r="H112" s="36">
        <f t="shared" si="12"/>
        <v>0</v>
      </c>
      <c r="I112" s="36">
        <f t="shared" si="6"/>
        <v>0</v>
      </c>
      <c r="J112" s="36">
        <f t="shared" si="7"/>
        <v>36</v>
      </c>
    </row>
    <row r="113" spans="2:10" ht="12.75">
      <c r="B113" s="36">
        <v>3</v>
      </c>
      <c r="C113" s="36">
        <v>12</v>
      </c>
      <c r="D113" s="73">
        <f t="shared" si="10"/>
        <v>6</v>
      </c>
      <c r="E113" s="73">
        <f t="shared" si="11"/>
        <v>0.09999999999999964</v>
      </c>
      <c r="F113" s="36">
        <f t="shared" si="4"/>
        <v>0.009999999999999929</v>
      </c>
      <c r="G113" s="36">
        <f t="shared" si="5"/>
        <v>0.5999999999999979</v>
      </c>
      <c r="H113" s="36">
        <f t="shared" si="12"/>
        <v>0</v>
      </c>
      <c r="I113" s="36">
        <f t="shared" si="6"/>
        <v>0</v>
      </c>
      <c r="J113" s="36">
        <f t="shared" si="7"/>
        <v>36</v>
      </c>
    </row>
    <row r="114" spans="2:10" ht="12.75">
      <c r="B114" s="36">
        <v>4</v>
      </c>
      <c r="C114" s="36">
        <v>1</v>
      </c>
      <c r="D114" s="73">
        <f>J$10</f>
        <v>8</v>
      </c>
      <c r="E114" s="73">
        <f>J27</f>
        <v>-0.40000000000000036</v>
      </c>
      <c r="F114" s="36">
        <f t="shared" si="4"/>
        <v>0.16000000000000028</v>
      </c>
      <c r="G114" s="36">
        <f t="shared" si="5"/>
        <v>-3.200000000000003</v>
      </c>
      <c r="H114" s="36">
        <f t="shared" si="12"/>
        <v>2</v>
      </c>
      <c r="I114" s="36">
        <f t="shared" si="6"/>
        <v>4</v>
      </c>
      <c r="J114" s="36">
        <f t="shared" si="7"/>
        <v>64</v>
      </c>
    </row>
    <row r="115" spans="2:10" ht="12.75">
      <c r="B115" s="36">
        <v>4</v>
      </c>
      <c r="C115" s="36">
        <v>2</v>
      </c>
      <c r="D115" s="73">
        <f aca="true" t="shared" si="13" ref="D115:D125">J$10</f>
        <v>8</v>
      </c>
      <c r="E115" s="73">
        <f>J28</f>
        <v>-0.2999999999999998</v>
      </c>
      <c r="F115" s="36">
        <f t="shared" si="4"/>
        <v>0.0899999999999999</v>
      </c>
      <c r="G115" s="36">
        <f t="shared" si="5"/>
        <v>-2.3999999999999986</v>
      </c>
      <c r="H115" s="36">
        <f t="shared" si="12"/>
        <v>2</v>
      </c>
      <c r="I115" s="36">
        <f t="shared" si="6"/>
        <v>4</v>
      </c>
      <c r="J115" s="36">
        <f t="shared" si="7"/>
        <v>64</v>
      </c>
    </row>
    <row r="116" spans="2:10" ht="12.75">
      <c r="B116" s="36">
        <v>4</v>
      </c>
      <c r="C116" s="36">
        <v>3</v>
      </c>
      <c r="D116" s="73">
        <f t="shared" si="13"/>
        <v>8</v>
      </c>
      <c r="E116" s="73">
        <f>J29</f>
        <v>-0.20000000000000018</v>
      </c>
      <c r="F116" s="36">
        <f t="shared" si="4"/>
        <v>0.04000000000000007</v>
      </c>
      <c r="G116" s="36">
        <f t="shared" si="5"/>
        <v>-1.6000000000000014</v>
      </c>
      <c r="H116" s="36">
        <f t="shared" si="12"/>
        <v>2</v>
      </c>
      <c r="I116" s="36">
        <f t="shared" si="6"/>
        <v>4</v>
      </c>
      <c r="J116" s="36">
        <f t="shared" si="7"/>
        <v>64</v>
      </c>
    </row>
    <row r="117" spans="2:10" ht="12.75">
      <c r="B117" s="36">
        <v>4</v>
      </c>
      <c r="C117" s="36">
        <v>4</v>
      </c>
      <c r="D117" s="73">
        <f t="shared" si="13"/>
        <v>8</v>
      </c>
      <c r="E117" s="73">
        <f aca="true" t="shared" si="14" ref="E117:E125">J30</f>
        <v>-0.2999999999999998</v>
      </c>
      <c r="F117" s="36">
        <f t="shared" si="4"/>
        <v>0.0899999999999999</v>
      </c>
      <c r="G117" s="36">
        <f t="shared" si="5"/>
        <v>-2.3999999999999986</v>
      </c>
      <c r="H117" s="36">
        <f t="shared" si="12"/>
        <v>2</v>
      </c>
      <c r="I117" s="36">
        <f t="shared" si="6"/>
        <v>4</v>
      </c>
      <c r="J117" s="36">
        <f t="shared" si="7"/>
        <v>64</v>
      </c>
    </row>
    <row r="118" spans="2:10" ht="12.75">
      <c r="B118" s="36">
        <v>4</v>
      </c>
      <c r="C118" s="36">
        <v>5</v>
      </c>
      <c r="D118" s="73">
        <f t="shared" si="13"/>
        <v>8</v>
      </c>
      <c r="E118" s="73">
        <f t="shared" si="14"/>
        <v>-0.20000000000000018</v>
      </c>
      <c r="F118" s="36">
        <f t="shared" si="4"/>
        <v>0.04000000000000007</v>
      </c>
      <c r="G118" s="36">
        <f t="shared" si="5"/>
        <v>-1.6000000000000014</v>
      </c>
      <c r="H118" s="36">
        <f t="shared" si="12"/>
        <v>2</v>
      </c>
      <c r="I118" s="36">
        <f t="shared" si="6"/>
        <v>4</v>
      </c>
      <c r="J118" s="36">
        <f t="shared" si="7"/>
        <v>64</v>
      </c>
    </row>
    <row r="119" spans="2:10" ht="12.75">
      <c r="B119" s="36">
        <v>4</v>
      </c>
      <c r="C119" s="36">
        <v>6</v>
      </c>
      <c r="D119" s="73">
        <f t="shared" si="13"/>
        <v>8</v>
      </c>
      <c r="E119" s="73">
        <f t="shared" si="14"/>
        <v>-0.20000000000000018</v>
      </c>
      <c r="F119" s="36">
        <f t="shared" si="4"/>
        <v>0.04000000000000007</v>
      </c>
      <c r="G119" s="36">
        <f t="shared" si="5"/>
        <v>-1.6000000000000014</v>
      </c>
      <c r="H119" s="36">
        <f t="shared" si="12"/>
        <v>2</v>
      </c>
      <c r="I119" s="36">
        <f t="shared" si="6"/>
        <v>4</v>
      </c>
      <c r="J119" s="36">
        <f t="shared" si="7"/>
        <v>64</v>
      </c>
    </row>
    <row r="120" spans="2:10" ht="12.75">
      <c r="B120" s="36">
        <v>4</v>
      </c>
      <c r="C120" s="36">
        <v>7</v>
      </c>
      <c r="D120" s="73">
        <f t="shared" si="13"/>
        <v>8</v>
      </c>
      <c r="E120" s="73">
        <f t="shared" si="14"/>
        <v>-0.20000000000000018</v>
      </c>
      <c r="F120" s="36">
        <f t="shared" si="4"/>
        <v>0.04000000000000007</v>
      </c>
      <c r="G120" s="36">
        <f t="shared" si="5"/>
        <v>-1.6000000000000014</v>
      </c>
      <c r="H120" s="36">
        <f t="shared" si="12"/>
        <v>2</v>
      </c>
      <c r="I120" s="36">
        <f t="shared" si="6"/>
        <v>4</v>
      </c>
      <c r="J120" s="36">
        <f t="shared" si="7"/>
        <v>64</v>
      </c>
    </row>
    <row r="121" spans="2:10" ht="12.75">
      <c r="B121" s="36">
        <v>4</v>
      </c>
      <c r="C121" s="36">
        <v>8</v>
      </c>
      <c r="D121" s="73">
        <f t="shared" si="13"/>
        <v>8</v>
      </c>
      <c r="E121" s="73">
        <f t="shared" si="14"/>
        <v>-0.2999999999999998</v>
      </c>
      <c r="F121" s="36">
        <f t="shared" si="4"/>
        <v>0.0899999999999999</v>
      </c>
      <c r="G121" s="36">
        <f t="shared" si="5"/>
        <v>-2.3999999999999986</v>
      </c>
      <c r="H121" s="36">
        <f t="shared" si="12"/>
        <v>2</v>
      </c>
      <c r="I121" s="36">
        <f t="shared" si="6"/>
        <v>4</v>
      </c>
      <c r="J121" s="36">
        <f t="shared" si="7"/>
        <v>64</v>
      </c>
    </row>
    <row r="122" spans="2:10" ht="12.75">
      <c r="B122" s="36">
        <v>4</v>
      </c>
      <c r="C122" s="36">
        <v>9</v>
      </c>
      <c r="D122" s="73">
        <f t="shared" si="13"/>
        <v>8</v>
      </c>
      <c r="E122" s="73">
        <f t="shared" si="14"/>
        <v>-0.20000000000000018</v>
      </c>
      <c r="F122" s="36">
        <f t="shared" si="4"/>
        <v>0.04000000000000007</v>
      </c>
      <c r="G122" s="36">
        <f t="shared" si="5"/>
        <v>-1.6000000000000014</v>
      </c>
      <c r="H122" s="36">
        <f t="shared" si="12"/>
        <v>2</v>
      </c>
      <c r="I122" s="36">
        <f t="shared" si="6"/>
        <v>4</v>
      </c>
      <c r="J122" s="36">
        <f t="shared" si="7"/>
        <v>64</v>
      </c>
    </row>
    <row r="123" spans="2:10" ht="12.75">
      <c r="B123" s="36">
        <v>4</v>
      </c>
      <c r="C123" s="36">
        <v>10</v>
      </c>
      <c r="D123" s="73">
        <f t="shared" si="13"/>
        <v>8</v>
      </c>
      <c r="E123" s="73">
        <f t="shared" si="14"/>
        <v>-0.5</v>
      </c>
      <c r="F123" s="36">
        <f t="shared" si="4"/>
        <v>0.25</v>
      </c>
      <c r="G123" s="36">
        <f t="shared" si="5"/>
        <v>-4</v>
      </c>
      <c r="H123" s="36">
        <f t="shared" si="12"/>
        <v>2</v>
      </c>
      <c r="I123" s="36">
        <f t="shared" si="6"/>
        <v>4</v>
      </c>
      <c r="J123" s="36">
        <f t="shared" si="7"/>
        <v>64</v>
      </c>
    </row>
    <row r="124" spans="2:10" ht="12.75">
      <c r="B124" s="36">
        <v>4</v>
      </c>
      <c r="C124" s="36">
        <v>11</v>
      </c>
      <c r="D124" s="73">
        <f t="shared" si="13"/>
        <v>8</v>
      </c>
      <c r="E124" s="73">
        <f t="shared" si="14"/>
        <v>-0.40000000000000036</v>
      </c>
      <c r="F124" s="36">
        <f t="shared" si="4"/>
        <v>0.16000000000000028</v>
      </c>
      <c r="G124" s="36">
        <f t="shared" si="5"/>
        <v>-3.200000000000003</v>
      </c>
      <c r="H124" s="36">
        <f t="shared" si="12"/>
        <v>2</v>
      </c>
      <c r="I124" s="36">
        <f t="shared" si="6"/>
        <v>4</v>
      </c>
      <c r="J124" s="36">
        <f t="shared" si="7"/>
        <v>64</v>
      </c>
    </row>
    <row r="125" spans="2:10" ht="12.75">
      <c r="B125" s="36">
        <v>4</v>
      </c>
      <c r="C125" s="36">
        <v>12</v>
      </c>
      <c r="D125" s="73">
        <f t="shared" si="13"/>
        <v>8</v>
      </c>
      <c r="E125" s="73">
        <f t="shared" si="14"/>
        <v>-0.2999999999999998</v>
      </c>
      <c r="F125" s="36">
        <f t="shared" si="4"/>
        <v>0.0899999999999999</v>
      </c>
      <c r="G125" s="36">
        <f t="shared" si="5"/>
        <v>-2.3999999999999986</v>
      </c>
      <c r="H125" s="36">
        <f t="shared" si="12"/>
        <v>2</v>
      </c>
      <c r="I125" s="36">
        <f t="shared" si="6"/>
        <v>4</v>
      </c>
      <c r="J125" s="36">
        <f t="shared" si="7"/>
        <v>64</v>
      </c>
    </row>
    <row r="126" spans="2:10" ht="12.75">
      <c r="B126" s="36">
        <v>5</v>
      </c>
      <c r="C126" s="36">
        <v>1</v>
      </c>
      <c r="D126" s="73">
        <f>L$10</f>
        <v>10</v>
      </c>
      <c r="E126" s="73">
        <f>L27</f>
        <v>-0.9000000000000004</v>
      </c>
      <c r="F126" s="36">
        <f t="shared" si="4"/>
        <v>0.8100000000000006</v>
      </c>
      <c r="G126" s="36">
        <f t="shared" si="5"/>
        <v>-9.000000000000004</v>
      </c>
      <c r="H126" s="36">
        <f t="shared" si="12"/>
        <v>4</v>
      </c>
      <c r="I126" s="36">
        <f t="shared" si="6"/>
        <v>16</v>
      </c>
      <c r="J126" s="36">
        <f t="shared" si="7"/>
        <v>100</v>
      </c>
    </row>
    <row r="127" spans="2:10" ht="12.75">
      <c r="B127" s="36">
        <v>5</v>
      </c>
      <c r="C127" s="36">
        <v>2</v>
      </c>
      <c r="D127" s="73">
        <f aca="true" t="shared" si="15" ref="D127:D137">L$10</f>
        <v>10</v>
      </c>
      <c r="E127" s="73">
        <f aca="true" t="shared" si="16" ref="E127:E137">L28</f>
        <v>-0.6999999999999993</v>
      </c>
      <c r="F127" s="36">
        <f t="shared" si="4"/>
        <v>0.489999999999999</v>
      </c>
      <c r="G127" s="36">
        <f t="shared" si="5"/>
        <v>-6.999999999999993</v>
      </c>
      <c r="H127" s="36">
        <f t="shared" si="12"/>
        <v>4</v>
      </c>
      <c r="I127" s="36">
        <f t="shared" si="6"/>
        <v>16</v>
      </c>
      <c r="J127" s="36">
        <f t="shared" si="7"/>
        <v>100</v>
      </c>
    </row>
    <row r="128" spans="2:10" ht="12.75">
      <c r="B128" s="36">
        <v>5</v>
      </c>
      <c r="C128" s="36">
        <v>3</v>
      </c>
      <c r="D128" s="73">
        <f t="shared" si="15"/>
        <v>10</v>
      </c>
      <c r="E128" s="73">
        <f t="shared" si="16"/>
        <v>-0.5</v>
      </c>
      <c r="F128" s="36">
        <f t="shared" si="4"/>
        <v>0.25</v>
      </c>
      <c r="G128" s="36">
        <f t="shared" si="5"/>
        <v>-5</v>
      </c>
      <c r="H128" s="36">
        <f t="shared" si="12"/>
        <v>4</v>
      </c>
      <c r="I128" s="36">
        <f t="shared" si="6"/>
        <v>16</v>
      </c>
      <c r="J128" s="36">
        <f t="shared" si="7"/>
        <v>100</v>
      </c>
    </row>
    <row r="129" spans="2:10" ht="12.75">
      <c r="B129" s="36">
        <v>5</v>
      </c>
      <c r="C129" s="36">
        <v>4</v>
      </c>
      <c r="D129" s="73">
        <f t="shared" si="15"/>
        <v>10</v>
      </c>
      <c r="E129" s="73">
        <f t="shared" si="16"/>
        <v>-0.6999999999999993</v>
      </c>
      <c r="F129" s="36">
        <f t="shared" si="4"/>
        <v>0.489999999999999</v>
      </c>
      <c r="G129" s="36">
        <f t="shared" si="5"/>
        <v>-6.999999999999993</v>
      </c>
      <c r="H129" s="36">
        <f t="shared" si="12"/>
        <v>4</v>
      </c>
      <c r="I129" s="36">
        <f t="shared" si="6"/>
        <v>16</v>
      </c>
      <c r="J129" s="36">
        <f t="shared" si="7"/>
        <v>100</v>
      </c>
    </row>
    <row r="130" spans="2:10" ht="12.75">
      <c r="B130" s="36">
        <v>5</v>
      </c>
      <c r="C130" s="36">
        <v>5</v>
      </c>
      <c r="D130" s="73">
        <f t="shared" si="15"/>
        <v>10</v>
      </c>
      <c r="E130" s="73">
        <f t="shared" si="16"/>
        <v>-0.5999999999999996</v>
      </c>
      <c r="F130" s="36">
        <f t="shared" si="4"/>
        <v>0.3599999999999996</v>
      </c>
      <c r="G130" s="36">
        <f t="shared" si="5"/>
        <v>-5.9999999999999964</v>
      </c>
      <c r="H130" s="36">
        <f t="shared" si="12"/>
        <v>4</v>
      </c>
      <c r="I130" s="36">
        <f t="shared" si="6"/>
        <v>16</v>
      </c>
      <c r="J130" s="36">
        <f t="shared" si="7"/>
        <v>100</v>
      </c>
    </row>
    <row r="131" spans="2:10" ht="12.75">
      <c r="B131" s="36">
        <v>5</v>
      </c>
      <c r="C131" s="36">
        <v>6</v>
      </c>
      <c r="D131" s="73">
        <f t="shared" si="15"/>
        <v>10</v>
      </c>
      <c r="E131" s="73">
        <f t="shared" si="16"/>
        <v>-0.5</v>
      </c>
      <c r="F131" s="36">
        <f t="shared" si="4"/>
        <v>0.25</v>
      </c>
      <c r="G131" s="36">
        <f t="shared" si="5"/>
        <v>-5</v>
      </c>
      <c r="H131" s="36">
        <f t="shared" si="12"/>
        <v>4</v>
      </c>
      <c r="I131" s="36">
        <f t="shared" si="6"/>
        <v>16</v>
      </c>
      <c r="J131" s="36">
        <f t="shared" si="7"/>
        <v>100</v>
      </c>
    </row>
    <row r="132" spans="2:10" ht="12.75">
      <c r="B132" s="36">
        <v>5</v>
      </c>
      <c r="C132" s="36">
        <v>7</v>
      </c>
      <c r="D132" s="73">
        <f t="shared" si="15"/>
        <v>10</v>
      </c>
      <c r="E132" s="73">
        <f t="shared" si="16"/>
        <v>-0.5</v>
      </c>
      <c r="F132" s="36">
        <f t="shared" si="4"/>
        <v>0.25</v>
      </c>
      <c r="G132" s="36">
        <f t="shared" si="5"/>
        <v>-5</v>
      </c>
      <c r="H132" s="36">
        <f t="shared" si="12"/>
        <v>4</v>
      </c>
      <c r="I132" s="36">
        <f t="shared" si="6"/>
        <v>16</v>
      </c>
      <c r="J132" s="36">
        <f t="shared" si="7"/>
        <v>100</v>
      </c>
    </row>
    <row r="133" spans="2:10" ht="12.75">
      <c r="B133" s="36">
        <v>5</v>
      </c>
      <c r="C133" s="36">
        <v>8</v>
      </c>
      <c r="D133" s="73">
        <f t="shared" si="15"/>
        <v>10</v>
      </c>
      <c r="E133" s="73">
        <f t="shared" si="16"/>
        <v>-0.5</v>
      </c>
      <c r="F133" s="36">
        <f t="shared" si="4"/>
        <v>0.25</v>
      </c>
      <c r="G133" s="36">
        <f t="shared" si="5"/>
        <v>-5</v>
      </c>
      <c r="H133" s="36">
        <f t="shared" si="12"/>
        <v>4</v>
      </c>
      <c r="I133" s="36">
        <f t="shared" si="6"/>
        <v>16</v>
      </c>
      <c r="J133" s="36">
        <f t="shared" si="7"/>
        <v>100</v>
      </c>
    </row>
    <row r="134" spans="2:10" ht="12.75">
      <c r="B134" s="36">
        <v>5</v>
      </c>
      <c r="C134" s="36">
        <v>9</v>
      </c>
      <c r="D134" s="73">
        <f t="shared" si="15"/>
        <v>10</v>
      </c>
      <c r="E134" s="73">
        <f t="shared" si="16"/>
        <v>-0.40000000000000036</v>
      </c>
      <c r="F134" s="36">
        <f t="shared" si="4"/>
        <v>0.16000000000000028</v>
      </c>
      <c r="G134" s="36">
        <f t="shared" si="5"/>
        <v>-4.0000000000000036</v>
      </c>
      <c r="H134" s="36">
        <f t="shared" si="12"/>
        <v>4</v>
      </c>
      <c r="I134" s="36">
        <f t="shared" si="6"/>
        <v>16</v>
      </c>
      <c r="J134" s="36">
        <f t="shared" si="7"/>
        <v>100</v>
      </c>
    </row>
    <row r="135" spans="2:10" ht="12.75">
      <c r="B135" s="36">
        <v>5</v>
      </c>
      <c r="C135" s="36">
        <v>10</v>
      </c>
      <c r="D135" s="73">
        <f t="shared" si="15"/>
        <v>10</v>
      </c>
      <c r="E135" s="73">
        <f t="shared" si="16"/>
        <v>-0.8000000000000007</v>
      </c>
      <c r="F135" s="36">
        <f t="shared" si="4"/>
        <v>0.6400000000000011</v>
      </c>
      <c r="G135" s="36">
        <f t="shared" si="5"/>
        <v>-8.000000000000007</v>
      </c>
      <c r="H135" s="36">
        <f t="shared" si="12"/>
        <v>4</v>
      </c>
      <c r="I135" s="36">
        <f t="shared" si="6"/>
        <v>16</v>
      </c>
      <c r="J135" s="36">
        <f t="shared" si="7"/>
        <v>100</v>
      </c>
    </row>
    <row r="136" spans="2:10" ht="12.75">
      <c r="B136" s="36">
        <v>5</v>
      </c>
      <c r="C136" s="36">
        <v>11</v>
      </c>
      <c r="D136" s="73">
        <f t="shared" si="15"/>
        <v>10</v>
      </c>
      <c r="E136" s="73">
        <f t="shared" si="16"/>
        <v>-0.6999999999999993</v>
      </c>
      <c r="F136" s="36">
        <f t="shared" si="4"/>
        <v>0.489999999999999</v>
      </c>
      <c r="G136" s="36">
        <f t="shared" si="5"/>
        <v>-6.999999999999993</v>
      </c>
      <c r="H136" s="36">
        <f t="shared" si="12"/>
        <v>4</v>
      </c>
      <c r="I136" s="36">
        <f t="shared" si="6"/>
        <v>16</v>
      </c>
      <c r="J136" s="36">
        <f t="shared" si="7"/>
        <v>100</v>
      </c>
    </row>
    <row r="137" spans="2:10" ht="12.75">
      <c r="B137" s="36">
        <v>5</v>
      </c>
      <c r="C137" s="36">
        <v>12</v>
      </c>
      <c r="D137" s="73">
        <f t="shared" si="15"/>
        <v>10</v>
      </c>
      <c r="E137" s="73">
        <f t="shared" si="16"/>
        <v>-0.5999999999999996</v>
      </c>
      <c r="F137" s="36">
        <f t="shared" si="4"/>
        <v>0.3599999999999996</v>
      </c>
      <c r="G137" s="36">
        <f t="shared" si="5"/>
        <v>-5.9999999999999964</v>
      </c>
      <c r="H137" s="36">
        <f t="shared" si="12"/>
        <v>4</v>
      </c>
      <c r="I137" s="36">
        <f t="shared" si="6"/>
        <v>16</v>
      </c>
      <c r="J137" s="36">
        <f t="shared" si="7"/>
        <v>100</v>
      </c>
    </row>
    <row r="138" spans="4:10" ht="12.75">
      <c r="D138" s="83" t="s">
        <v>82</v>
      </c>
      <c r="E138" s="84" t="s">
        <v>71</v>
      </c>
      <c r="F138" s="84" t="s">
        <v>70</v>
      </c>
      <c r="G138" s="84" t="s">
        <v>73</v>
      </c>
      <c r="H138" s="83"/>
      <c r="I138" s="85" t="s">
        <v>78</v>
      </c>
      <c r="J138" s="84" t="s">
        <v>84</v>
      </c>
    </row>
    <row r="139" spans="4:10" ht="12.75">
      <c r="D139" s="36">
        <f>SUM(D78:D137)</f>
        <v>360</v>
      </c>
      <c r="E139" s="60">
        <f>SUM(E78:E137)</f>
        <v>-3.1999999999999984</v>
      </c>
      <c r="F139" s="60">
        <f>SUM(F78:F137)</f>
        <v>11.819999999999993</v>
      </c>
      <c r="G139" s="60">
        <f>SUM(G78:G137)</f>
        <v>-82.4</v>
      </c>
      <c r="I139" s="60">
        <f>SUM(I78:I137)</f>
        <v>480</v>
      </c>
      <c r="J139" s="60">
        <f>SUM(J78:J137)</f>
        <v>2640</v>
      </c>
    </row>
    <row r="140" ht="12.75">
      <c r="D140" s="60" t="s">
        <v>75</v>
      </c>
    </row>
    <row r="141" spans="4:6" ht="12.75">
      <c r="D141" s="82">
        <f>AVERAGE(D78:D137)</f>
        <v>6</v>
      </c>
      <c r="E141" s="62" t="s">
        <v>74</v>
      </c>
      <c r="F141" s="36">
        <f>SQRT((F139-E48*E139-E47*G139)/((B10*B13)-2))</f>
        <v>0.23953978864653652</v>
      </c>
    </row>
    <row r="142" spans="5:6" ht="12.75">
      <c r="E142" s="62" t="s">
        <v>98</v>
      </c>
      <c r="F142" s="36">
        <f>E47*SQRT(I139)/F141</f>
        <v>-12.042559411499193</v>
      </c>
    </row>
    <row r="143" spans="5:6" ht="12.75">
      <c r="E143" s="62" t="s">
        <v>99</v>
      </c>
      <c r="F143" s="36">
        <f>E48/(F141*SQRT((1/(B10*B13))+D141^2/I139))</f>
        <v>10.157518860132125</v>
      </c>
    </row>
    <row r="144" spans="5:6" ht="12.75">
      <c r="E144" s="62" t="s">
        <v>79</v>
      </c>
      <c r="F144" s="36">
        <v>2.00172</v>
      </c>
    </row>
  </sheetData>
  <sheetProtection/>
  <mergeCells count="154">
    <mergeCell ref="A1:N1"/>
    <mergeCell ref="F22:G22"/>
    <mergeCell ref="D21:E21"/>
    <mergeCell ref="D17:E17"/>
    <mergeCell ref="D18:E18"/>
    <mergeCell ref="D19:E19"/>
    <mergeCell ref="D20:E20"/>
    <mergeCell ref="D13:E13"/>
    <mergeCell ref="D12:E12"/>
    <mergeCell ref="C5:E5"/>
    <mergeCell ref="F34:G34"/>
    <mergeCell ref="F36:G36"/>
    <mergeCell ref="M5:N5"/>
    <mergeCell ref="M6:N6"/>
    <mergeCell ref="H12:I12"/>
    <mergeCell ref="H13:I13"/>
    <mergeCell ref="H5:J5"/>
    <mergeCell ref="H6:J6"/>
    <mergeCell ref="H7:J7"/>
    <mergeCell ref="F12:G12"/>
    <mergeCell ref="D44:E44"/>
    <mergeCell ref="D27:E27"/>
    <mergeCell ref="D28:E28"/>
    <mergeCell ref="D29:E29"/>
    <mergeCell ref="D30:E30"/>
    <mergeCell ref="D31:E31"/>
    <mergeCell ref="D32:E32"/>
    <mergeCell ref="D33:E33"/>
    <mergeCell ref="D35:E35"/>
    <mergeCell ref="D42:E42"/>
    <mergeCell ref="D25:E25"/>
    <mergeCell ref="L9:M9"/>
    <mergeCell ref="F10:G10"/>
    <mergeCell ref="H10:I10"/>
    <mergeCell ref="J10:K10"/>
    <mergeCell ref="L10:M10"/>
    <mergeCell ref="D9:E9"/>
    <mergeCell ref="F9:G9"/>
    <mergeCell ref="H9:I9"/>
    <mergeCell ref="J9:K9"/>
    <mergeCell ref="C6:E6"/>
    <mergeCell ref="D22:E22"/>
    <mergeCell ref="D23:E23"/>
    <mergeCell ref="C7:E7"/>
    <mergeCell ref="D10:E10"/>
    <mergeCell ref="D14:E14"/>
    <mergeCell ref="D15:E15"/>
    <mergeCell ref="D16:E16"/>
    <mergeCell ref="F13:G13"/>
    <mergeCell ref="F14:G14"/>
    <mergeCell ref="F15:G15"/>
    <mergeCell ref="F16:G16"/>
    <mergeCell ref="F17:G17"/>
    <mergeCell ref="F18:G18"/>
    <mergeCell ref="F19:G19"/>
    <mergeCell ref="F20:G20"/>
    <mergeCell ref="F21:G21"/>
    <mergeCell ref="F44:G44"/>
    <mergeCell ref="F38:G38"/>
    <mergeCell ref="F23:G23"/>
    <mergeCell ref="F25:G25"/>
    <mergeCell ref="F42:G42"/>
    <mergeCell ref="F35:G35"/>
    <mergeCell ref="F37:G37"/>
    <mergeCell ref="F30:G30"/>
    <mergeCell ref="F32:G32"/>
    <mergeCell ref="H14:I14"/>
    <mergeCell ref="H15:I15"/>
    <mergeCell ref="H16:I16"/>
    <mergeCell ref="H17:I17"/>
    <mergeCell ref="H18:I18"/>
    <mergeCell ref="H19:I19"/>
    <mergeCell ref="H20:I20"/>
    <mergeCell ref="H44:I44"/>
    <mergeCell ref="H21:I21"/>
    <mergeCell ref="H32:I32"/>
    <mergeCell ref="H34:I34"/>
    <mergeCell ref="H36:I36"/>
    <mergeCell ref="H38:I38"/>
    <mergeCell ref="H35:I35"/>
    <mergeCell ref="J12:K12"/>
    <mergeCell ref="J13:K13"/>
    <mergeCell ref="J14:K14"/>
    <mergeCell ref="J15:K15"/>
    <mergeCell ref="J16:K16"/>
    <mergeCell ref="J17:K17"/>
    <mergeCell ref="J18:K18"/>
    <mergeCell ref="J19:K19"/>
    <mergeCell ref="J21:K21"/>
    <mergeCell ref="J22:K22"/>
    <mergeCell ref="J23:K23"/>
    <mergeCell ref="H42:I42"/>
    <mergeCell ref="H22:I22"/>
    <mergeCell ref="H23:I23"/>
    <mergeCell ref="H25:I25"/>
    <mergeCell ref="J42:K42"/>
    <mergeCell ref="J28:K28"/>
    <mergeCell ref="J29:K29"/>
    <mergeCell ref="J44:K44"/>
    <mergeCell ref="L12:M12"/>
    <mergeCell ref="L13:M13"/>
    <mergeCell ref="L14:M14"/>
    <mergeCell ref="L15:M15"/>
    <mergeCell ref="L16:M16"/>
    <mergeCell ref="L17:M17"/>
    <mergeCell ref="L18:M18"/>
    <mergeCell ref="J20:K20"/>
    <mergeCell ref="L42:M42"/>
    <mergeCell ref="L44:M44"/>
    <mergeCell ref="L19:M19"/>
    <mergeCell ref="L20:M20"/>
    <mergeCell ref="L21:M21"/>
    <mergeCell ref="L22:M22"/>
    <mergeCell ref="L28:M28"/>
    <mergeCell ref="L29:M29"/>
    <mergeCell ref="D36:E36"/>
    <mergeCell ref="D37:E37"/>
    <mergeCell ref="L23:M23"/>
    <mergeCell ref="L25:M25"/>
    <mergeCell ref="J25:K25"/>
    <mergeCell ref="J27:K27"/>
    <mergeCell ref="L27:M27"/>
    <mergeCell ref="F28:G28"/>
    <mergeCell ref="H28:I28"/>
    <mergeCell ref="H30:I30"/>
    <mergeCell ref="D38:E38"/>
    <mergeCell ref="F27:G27"/>
    <mergeCell ref="H27:I27"/>
    <mergeCell ref="F29:G29"/>
    <mergeCell ref="H29:I29"/>
    <mergeCell ref="F31:G31"/>
    <mergeCell ref="H31:I31"/>
    <mergeCell ref="F33:G33"/>
    <mergeCell ref="H33:I33"/>
    <mergeCell ref="D34:E34"/>
    <mergeCell ref="J30:K30"/>
    <mergeCell ref="L30:M30"/>
    <mergeCell ref="J31:K31"/>
    <mergeCell ref="L31:M31"/>
    <mergeCell ref="J32:K32"/>
    <mergeCell ref="L32:M32"/>
    <mergeCell ref="J33:K33"/>
    <mergeCell ref="L33:M33"/>
    <mergeCell ref="J34:K34"/>
    <mergeCell ref="L34:M34"/>
    <mergeCell ref="J35:K35"/>
    <mergeCell ref="L35:M35"/>
    <mergeCell ref="J38:K38"/>
    <mergeCell ref="L38:M38"/>
    <mergeCell ref="H37:I37"/>
    <mergeCell ref="J36:K36"/>
    <mergeCell ref="L36:M36"/>
    <mergeCell ref="J37:K37"/>
    <mergeCell ref="L37:M37"/>
  </mergeCells>
  <printOptions horizontalCentered="1"/>
  <pageMargins left="0.5" right="0.25" top="0.35" bottom="0" header="0.5" footer="0.5"/>
  <pageSetup horizontalDpi="300" verticalDpi="300" orientation="portrait" scale="70" r:id="rId2"/>
  <headerFooter alignWithMargins="0">
    <oddFooter>&amp;LForm 827  Rev. A  08-Jul-03</oddFooter>
  </headerFooter>
  <drawing r:id="rId1"/>
</worksheet>
</file>

<file path=xl/worksheets/sheet8.xml><?xml version="1.0" encoding="utf-8"?>
<worksheet xmlns="http://schemas.openxmlformats.org/spreadsheetml/2006/main" xmlns:r="http://schemas.openxmlformats.org/officeDocument/2006/relationships">
  <dimension ref="A1:W28"/>
  <sheetViews>
    <sheetView zoomScale="75" zoomScaleNormal="75" zoomScaleSheetLayoutView="50" workbookViewId="0" topLeftCell="A1">
      <selection activeCell="F2" sqref="F2"/>
    </sheetView>
  </sheetViews>
  <sheetFormatPr defaultColWidth="9.140625" defaultRowHeight="12.75"/>
  <cols>
    <col min="3" max="3" width="12.421875" style="0" customWidth="1"/>
    <col min="4" max="4" width="7.28125" style="0" customWidth="1"/>
    <col min="5" max="5" width="7.57421875" style="0" customWidth="1"/>
    <col min="6" max="7" width="7.28125" style="0" customWidth="1"/>
    <col min="8" max="8" width="7.8515625" style="0" customWidth="1"/>
    <col min="9" max="9" width="7.28125" style="0" customWidth="1"/>
    <col min="10" max="10" width="7.57421875" style="0" customWidth="1"/>
    <col min="11" max="11" width="10.140625" style="0" bestFit="1" customWidth="1"/>
    <col min="12" max="12" width="7.7109375" style="0" customWidth="1"/>
    <col min="13" max="13" width="8.00390625" style="0" customWidth="1"/>
    <col min="14" max="15" width="8.140625" style="0" customWidth="1"/>
    <col min="16" max="16" width="7.7109375" style="0" customWidth="1"/>
    <col min="17" max="17" width="8.140625" style="0" customWidth="1"/>
    <col min="18" max="18" width="7.7109375" style="0" customWidth="1"/>
    <col min="19" max="19" width="8.28125" style="0" customWidth="1"/>
    <col min="20" max="20" width="7.421875" style="0" customWidth="1"/>
    <col min="21" max="21" width="8.28125" style="0" customWidth="1"/>
    <col min="22" max="22" width="8.57421875" style="0" customWidth="1"/>
    <col min="23" max="23" width="8.421875" style="0" customWidth="1"/>
    <col min="24" max="24" width="0.71875" style="0" customWidth="1"/>
  </cols>
  <sheetData>
    <row r="1" spans="1:23" s="1" customFormat="1" ht="27.75">
      <c r="A1" s="227" t="s">
        <v>229</v>
      </c>
      <c r="B1" s="227"/>
      <c r="C1" s="227"/>
      <c r="D1" s="227"/>
      <c r="E1" s="227"/>
      <c r="F1" s="227"/>
      <c r="G1" s="227"/>
      <c r="H1" s="227"/>
      <c r="I1" s="227"/>
      <c r="J1" s="227"/>
      <c r="K1" s="227"/>
      <c r="L1" s="227"/>
      <c r="M1" s="227"/>
      <c r="N1" s="261"/>
      <c r="O1" s="261"/>
      <c r="P1" s="261"/>
      <c r="Q1" s="261"/>
      <c r="R1" s="261"/>
      <c r="S1" s="261"/>
      <c r="T1" s="261"/>
      <c r="U1" s="261"/>
      <c r="V1" s="261"/>
      <c r="W1" s="261"/>
    </row>
    <row r="2" s="1" customFormat="1" ht="25.5" customHeight="1"/>
    <row r="3" spans="3:15" s="4" customFormat="1" ht="21" customHeight="1">
      <c r="C3" s="8" t="s">
        <v>25</v>
      </c>
      <c r="D3" s="228"/>
      <c r="E3" s="228"/>
      <c r="G3" s="8" t="s">
        <v>27</v>
      </c>
      <c r="H3" s="228"/>
      <c r="I3" s="228"/>
      <c r="J3" s="228"/>
      <c r="L3" s="8" t="s">
        <v>56</v>
      </c>
      <c r="M3" s="260"/>
      <c r="N3" s="260"/>
      <c r="O3" s="260"/>
    </row>
    <row r="4" spans="3:15" s="4" customFormat="1" ht="21" customHeight="1">
      <c r="C4" s="8" t="s">
        <v>26</v>
      </c>
      <c r="D4" s="225"/>
      <c r="E4" s="225"/>
      <c r="G4" s="8" t="s">
        <v>28</v>
      </c>
      <c r="H4" s="225"/>
      <c r="I4" s="225"/>
      <c r="J4" s="225"/>
      <c r="L4" s="8" t="s">
        <v>31</v>
      </c>
      <c r="M4" s="225"/>
      <c r="N4" s="225"/>
      <c r="O4" s="225"/>
    </row>
    <row r="5" spans="3:10" s="4" customFormat="1" ht="21" customHeight="1">
      <c r="C5" s="8" t="s">
        <v>38</v>
      </c>
      <c r="D5" s="225"/>
      <c r="E5" s="225"/>
      <c r="G5" s="8" t="s">
        <v>29</v>
      </c>
      <c r="H5" s="230"/>
      <c r="I5" s="230"/>
      <c r="J5" s="230"/>
    </row>
    <row r="6" s="1" customFormat="1" ht="21" customHeight="1"/>
    <row r="7" s="1" customFormat="1" ht="21" customHeight="1"/>
    <row r="8" s="1" customFormat="1" ht="21" customHeight="1"/>
    <row r="9" spans="3:23" s="4" customFormat="1" ht="21" customHeight="1">
      <c r="C9" s="4" t="s">
        <v>42</v>
      </c>
      <c r="D9" s="14" t="s">
        <v>43</v>
      </c>
      <c r="E9" s="14" t="s">
        <v>44</v>
      </c>
      <c r="F9" s="14" t="s">
        <v>45</v>
      </c>
      <c r="G9" s="14" t="s">
        <v>46</v>
      </c>
      <c r="H9" s="14" t="s">
        <v>47</v>
      </c>
      <c r="I9" s="14" t="s">
        <v>48</v>
      </c>
      <c r="J9" s="14" t="s">
        <v>49</v>
      </c>
      <c r="K9" s="14" t="s">
        <v>50</v>
      </c>
      <c r="L9" s="14" t="s">
        <v>51</v>
      </c>
      <c r="M9" s="14" t="s">
        <v>52</v>
      </c>
      <c r="N9" s="14" t="s">
        <v>135</v>
      </c>
      <c r="O9" s="14" t="s">
        <v>136</v>
      </c>
      <c r="P9" s="14" t="s">
        <v>137</v>
      </c>
      <c r="Q9" s="14" t="s">
        <v>138</v>
      </c>
      <c r="R9" s="14" t="s">
        <v>139</v>
      </c>
      <c r="S9" s="14" t="s">
        <v>140</v>
      </c>
      <c r="T9" s="14" t="s">
        <v>141</v>
      </c>
      <c r="U9" s="14" t="s">
        <v>142</v>
      </c>
      <c r="V9" s="14" t="s">
        <v>143</v>
      </c>
      <c r="W9" s="14" t="s">
        <v>144</v>
      </c>
    </row>
    <row r="10" spans="3:23" s="1" customFormat="1" ht="21" customHeight="1">
      <c r="C10" s="1">
        <v>1</v>
      </c>
      <c r="D10" s="174"/>
      <c r="E10" s="174"/>
      <c r="F10" s="174"/>
      <c r="G10" s="174"/>
      <c r="H10" s="174"/>
      <c r="I10" s="174"/>
      <c r="J10" s="174"/>
      <c r="K10" s="174"/>
      <c r="L10" s="174"/>
      <c r="M10" s="174"/>
      <c r="N10" s="174"/>
      <c r="O10" s="174"/>
      <c r="P10" s="174"/>
      <c r="Q10" s="174"/>
      <c r="R10" s="174"/>
      <c r="S10" s="174"/>
      <c r="T10" s="174"/>
      <c r="U10" s="174"/>
      <c r="V10" s="174"/>
      <c r="W10" s="175"/>
    </row>
    <row r="11" spans="3:23" s="1" customFormat="1" ht="21" customHeight="1">
      <c r="C11" s="1">
        <v>2</v>
      </c>
      <c r="D11" s="174"/>
      <c r="E11" s="174"/>
      <c r="F11" s="174"/>
      <c r="G11" s="174"/>
      <c r="H11" s="174"/>
      <c r="I11" s="174"/>
      <c r="J11" s="174"/>
      <c r="K11" s="174"/>
      <c r="L11" s="174"/>
      <c r="M11" s="174"/>
      <c r="N11" s="175"/>
      <c r="O11" s="175"/>
      <c r="P11" s="175"/>
      <c r="Q11" s="175"/>
      <c r="R11" s="175"/>
      <c r="S11" s="175"/>
      <c r="T11" s="175"/>
      <c r="U11" s="175"/>
      <c r="V11" s="175"/>
      <c r="W11" s="175"/>
    </row>
    <row r="12" spans="3:23" s="1" customFormat="1" ht="21" customHeight="1">
      <c r="C12" s="1">
        <v>3</v>
      </c>
      <c r="D12" s="174"/>
      <c r="E12" s="174"/>
      <c r="F12" s="174"/>
      <c r="G12" s="174"/>
      <c r="H12" s="174"/>
      <c r="I12" s="174"/>
      <c r="J12" s="174"/>
      <c r="K12" s="174"/>
      <c r="L12" s="174"/>
      <c r="M12" s="174"/>
      <c r="N12" s="175"/>
      <c r="O12" s="175"/>
      <c r="P12" s="175"/>
      <c r="Q12" s="175"/>
      <c r="R12" s="175"/>
      <c r="S12" s="175"/>
      <c r="T12" s="175"/>
      <c r="U12" s="175"/>
      <c r="V12" s="175"/>
      <c r="W12" s="175"/>
    </row>
    <row r="13" spans="3:23" s="1" customFormat="1" ht="21" customHeight="1">
      <c r="C13" s="1">
        <v>4</v>
      </c>
      <c r="D13" s="174"/>
      <c r="E13" s="174"/>
      <c r="F13" s="174"/>
      <c r="G13" s="174"/>
      <c r="H13" s="174"/>
      <c r="I13" s="174"/>
      <c r="J13" s="174"/>
      <c r="K13" s="174"/>
      <c r="L13" s="174"/>
      <c r="M13" s="174"/>
      <c r="N13" s="175"/>
      <c r="O13" s="175"/>
      <c r="P13" s="175"/>
      <c r="Q13" s="175"/>
      <c r="R13" s="175"/>
      <c r="S13" s="175"/>
      <c r="T13" s="175"/>
      <c r="U13" s="175"/>
      <c r="V13" s="175"/>
      <c r="W13" s="175"/>
    </row>
    <row r="14" spans="3:23" s="1" customFormat="1" ht="21" customHeight="1">
      <c r="C14" s="1">
        <v>5</v>
      </c>
      <c r="D14" s="174"/>
      <c r="E14" s="174"/>
      <c r="F14" s="174"/>
      <c r="G14" s="174"/>
      <c r="H14" s="174"/>
      <c r="I14" s="174"/>
      <c r="J14" s="174"/>
      <c r="K14" s="174"/>
      <c r="L14" s="174"/>
      <c r="M14" s="174"/>
      <c r="N14" s="175"/>
      <c r="O14" s="175"/>
      <c r="P14" s="175"/>
      <c r="Q14" s="175"/>
      <c r="R14" s="175"/>
      <c r="S14" s="175"/>
      <c r="T14" s="175"/>
      <c r="U14" s="175"/>
      <c r="V14" s="175"/>
      <c r="W14" s="175"/>
    </row>
    <row r="15" spans="3:23" s="4" customFormat="1" ht="21" customHeight="1">
      <c r="C15" s="8" t="s">
        <v>53</v>
      </c>
      <c r="D15" s="114">
        <f>IF(ISBLANK(D10),"",AVERAGE(D10:D14))</f>
      </c>
      <c r="E15" s="114">
        <f aca="true" t="shared" si="0" ref="E15:W15">IF(ISBLANK(E10),"",AVERAGE(E10:E14))</f>
      </c>
      <c r="F15" s="114">
        <f t="shared" si="0"/>
      </c>
      <c r="G15" s="114">
        <f t="shared" si="0"/>
      </c>
      <c r="H15" s="114">
        <f t="shared" si="0"/>
      </c>
      <c r="I15" s="114">
        <f t="shared" si="0"/>
      </c>
      <c r="J15" s="114">
        <f t="shared" si="0"/>
      </c>
      <c r="K15" s="114">
        <f t="shared" si="0"/>
      </c>
      <c r="L15" s="114">
        <f t="shared" si="0"/>
      </c>
      <c r="M15" s="114">
        <f t="shared" si="0"/>
      </c>
      <c r="N15" s="114">
        <f t="shared" si="0"/>
      </c>
      <c r="O15" s="114">
        <f t="shared" si="0"/>
      </c>
      <c r="P15" s="114">
        <f t="shared" si="0"/>
      </c>
      <c r="Q15" s="114">
        <f t="shared" si="0"/>
      </c>
      <c r="R15" s="114">
        <f t="shared" si="0"/>
      </c>
      <c r="S15" s="114">
        <f t="shared" si="0"/>
      </c>
      <c r="T15" s="114">
        <f t="shared" si="0"/>
      </c>
      <c r="U15" s="114">
        <f t="shared" si="0"/>
      </c>
      <c r="V15" s="114">
        <f t="shared" si="0"/>
      </c>
      <c r="W15" s="114">
        <f t="shared" si="0"/>
      </c>
    </row>
    <row r="16" spans="3:23" s="4" customFormat="1" ht="21" customHeight="1">
      <c r="C16" s="8" t="s">
        <v>54</v>
      </c>
      <c r="D16" s="114">
        <f>IF(ISBLANK(D10),"",MAX(D10:D14)-MIN(D10:D14))</f>
      </c>
      <c r="E16" s="114">
        <f aca="true" t="shared" si="1" ref="E16:W16">IF(ISBLANK(E10),"",MAX(E10:E14)-MIN(E10:E14))</f>
      </c>
      <c r="F16" s="114">
        <f t="shared" si="1"/>
      </c>
      <c r="G16" s="114">
        <f t="shared" si="1"/>
      </c>
      <c r="H16" s="114">
        <f t="shared" si="1"/>
      </c>
      <c r="I16" s="114">
        <f t="shared" si="1"/>
      </c>
      <c r="J16" s="114">
        <f t="shared" si="1"/>
      </c>
      <c r="K16" s="114">
        <f t="shared" si="1"/>
      </c>
      <c r="L16" s="114">
        <f t="shared" si="1"/>
      </c>
      <c r="M16" s="114">
        <f t="shared" si="1"/>
      </c>
      <c r="N16" s="114">
        <f t="shared" si="1"/>
      </c>
      <c r="O16" s="114">
        <f t="shared" si="1"/>
      </c>
      <c r="P16" s="114">
        <f t="shared" si="1"/>
      </c>
      <c r="Q16" s="114">
        <f t="shared" si="1"/>
      </c>
      <c r="R16" s="114">
        <f t="shared" si="1"/>
      </c>
      <c r="S16" s="114">
        <f t="shared" si="1"/>
      </c>
      <c r="T16" s="114">
        <f t="shared" si="1"/>
      </c>
      <c r="U16" s="114">
        <f t="shared" si="1"/>
      </c>
      <c r="V16" s="114">
        <f t="shared" si="1"/>
      </c>
      <c r="W16" s="114">
        <f t="shared" si="1"/>
      </c>
    </row>
    <row r="17" spans="3:13" s="1" customFormat="1" ht="21" customHeight="1">
      <c r="C17" s="10"/>
      <c r="D17" s="11"/>
      <c r="E17" s="11"/>
      <c r="F17" s="11"/>
      <c r="G17" s="11"/>
      <c r="H17" s="11"/>
      <c r="I17" s="11"/>
      <c r="J17" s="11"/>
      <c r="K17" s="11"/>
      <c r="L17" s="11"/>
      <c r="M17" s="11"/>
    </row>
    <row r="18" spans="1:13" s="1" customFormat="1" ht="21" customHeight="1">
      <c r="A18" s="262" t="s">
        <v>145</v>
      </c>
      <c r="B18" s="262"/>
      <c r="C18" s="262"/>
      <c r="D18" s="115">
        <f>IF(ISTEXT(D15),"",AVERAGE(D15:W15))</f>
      </c>
      <c r="E18" s="11"/>
      <c r="F18" s="11"/>
      <c r="G18" s="11"/>
      <c r="H18" s="11"/>
      <c r="I18" s="11"/>
      <c r="J18" s="11"/>
      <c r="K18" s="11"/>
      <c r="L18" s="11"/>
      <c r="M18" s="11"/>
    </row>
    <row r="19" spans="1:13" s="5" customFormat="1" ht="21" customHeight="1">
      <c r="A19" s="262" t="s">
        <v>55</v>
      </c>
      <c r="B19" s="262"/>
      <c r="C19" s="262"/>
      <c r="D19" s="115">
        <f>IF(ISTEXT(D16),"",AVERAGE(D16:W16))</f>
      </c>
      <c r="E19" s="16"/>
      <c r="F19" s="16"/>
      <c r="G19" s="16"/>
      <c r="H19" s="16"/>
      <c r="I19" s="16"/>
      <c r="J19" s="16"/>
      <c r="K19" s="16"/>
      <c r="L19" s="16"/>
      <c r="M19" s="16"/>
    </row>
    <row r="20" spans="1:23" s="5" customFormat="1" ht="21" customHeight="1">
      <c r="A20" s="262" t="s">
        <v>146</v>
      </c>
      <c r="B20" s="262"/>
      <c r="C20" s="262"/>
      <c r="D20" s="116">
        <f>IF(ISTEXT(D19),"",(D19*2.57))</f>
      </c>
      <c r="E20" s="120">
        <f>IF(ISTEXT(D20),"",D20)</f>
      </c>
      <c r="F20" s="120">
        <f aca="true" t="shared" si="2" ref="F20:W20">IF(ISTEXT(E20),"",E20)</f>
      </c>
      <c r="G20" s="120">
        <f t="shared" si="2"/>
      </c>
      <c r="H20" s="120">
        <f t="shared" si="2"/>
      </c>
      <c r="I20" s="120">
        <f t="shared" si="2"/>
      </c>
      <c r="J20" s="120">
        <f t="shared" si="2"/>
      </c>
      <c r="K20" s="120">
        <f t="shared" si="2"/>
      </c>
      <c r="L20" s="120">
        <f t="shared" si="2"/>
      </c>
      <c r="M20" s="120">
        <f t="shared" si="2"/>
      </c>
      <c r="N20" s="120">
        <f t="shared" si="2"/>
      </c>
      <c r="O20" s="120">
        <f t="shared" si="2"/>
      </c>
      <c r="P20" s="120">
        <f t="shared" si="2"/>
      </c>
      <c r="Q20" s="120">
        <f t="shared" si="2"/>
      </c>
      <c r="R20" s="120">
        <f t="shared" si="2"/>
      </c>
      <c r="S20" s="120">
        <f t="shared" si="2"/>
      </c>
      <c r="T20" s="120">
        <f t="shared" si="2"/>
      </c>
      <c r="U20" s="120">
        <f t="shared" si="2"/>
      </c>
      <c r="V20" s="120">
        <f t="shared" si="2"/>
      </c>
      <c r="W20" s="120">
        <f t="shared" si="2"/>
      </c>
    </row>
    <row r="21" spans="1:23" s="5" customFormat="1" ht="21" customHeight="1">
      <c r="A21" s="262" t="s">
        <v>147</v>
      </c>
      <c r="B21" s="262"/>
      <c r="C21" s="262"/>
      <c r="D21" s="115">
        <v>0</v>
      </c>
      <c r="E21" s="115">
        <v>0</v>
      </c>
      <c r="F21" s="115">
        <v>0</v>
      </c>
      <c r="G21" s="115">
        <v>0</v>
      </c>
      <c r="H21" s="115">
        <v>0</v>
      </c>
      <c r="I21" s="115">
        <v>0</v>
      </c>
      <c r="J21" s="115">
        <v>0</v>
      </c>
      <c r="K21" s="115">
        <v>0</v>
      </c>
      <c r="L21" s="115">
        <v>0</v>
      </c>
      <c r="M21" s="115">
        <v>0</v>
      </c>
      <c r="N21" s="115">
        <v>0</v>
      </c>
      <c r="O21" s="115">
        <v>0</v>
      </c>
      <c r="P21" s="115">
        <v>0</v>
      </c>
      <c r="Q21" s="115">
        <v>0</v>
      </c>
      <c r="R21" s="115">
        <v>0</v>
      </c>
      <c r="S21" s="115">
        <v>0</v>
      </c>
      <c r="T21" s="115">
        <v>0</v>
      </c>
      <c r="U21" s="115">
        <v>0</v>
      </c>
      <c r="V21" s="115">
        <v>0</v>
      </c>
      <c r="W21" s="115">
        <v>0</v>
      </c>
    </row>
    <row r="22" spans="1:23" s="1" customFormat="1" ht="21" customHeight="1">
      <c r="A22" s="262" t="s">
        <v>149</v>
      </c>
      <c r="B22" s="262"/>
      <c r="C22" s="262"/>
      <c r="D22" s="117">
        <f>IF(ISTEXT(D18),"",(D18+(0.58*D19)))</f>
      </c>
      <c r="E22" s="120">
        <f>IF(ISTEXT(D22),"",D22)</f>
      </c>
      <c r="F22" s="120">
        <f aca="true" t="shared" si="3" ref="F22:W22">IF(ISTEXT(E22),"",E22)</f>
      </c>
      <c r="G22" s="120">
        <f t="shared" si="3"/>
      </c>
      <c r="H22" s="120">
        <f t="shared" si="3"/>
      </c>
      <c r="I22" s="120">
        <f t="shared" si="3"/>
      </c>
      <c r="J22" s="120">
        <f t="shared" si="3"/>
      </c>
      <c r="K22" s="120">
        <f t="shared" si="3"/>
      </c>
      <c r="L22" s="120">
        <f t="shared" si="3"/>
      </c>
      <c r="M22" s="120">
        <f t="shared" si="3"/>
      </c>
      <c r="N22" s="120">
        <f t="shared" si="3"/>
      </c>
      <c r="O22" s="120">
        <f t="shared" si="3"/>
      </c>
      <c r="P22" s="120">
        <f t="shared" si="3"/>
      </c>
      <c r="Q22" s="120">
        <f t="shared" si="3"/>
      </c>
      <c r="R22" s="120">
        <f t="shared" si="3"/>
      </c>
      <c r="S22" s="120">
        <f t="shared" si="3"/>
      </c>
      <c r="T22" s="120">
        <f t="shared" si="3"/>
      </c>
      <c r="U22" s="120">
        <f t="shared" si="3"/>
      </c>
      <c r="V22" s="120">
        <f t="shared" si="3"/>
      </c>
      <c r="W22" s="120">
        <f t="shared" si="3"/>
      </c>
    </row>
    <row r="23" spans="1:23" s="1" customFormat="1" ht="21" customHeight="1">
      <c r="A23" s="262" t="s">
        <v>148</v>
      </c>
      <c r="B23" s="262"/>
      <c r="C23" s="262"/>
      <c r="D23" s="117">
        <f>IF(ISTEXT(D18),"",(D18-(0.58*D19)))</f>
      </c>
      <c r="E23" s="120">
        <f>IF(ISTEXT(D23),"",D23)</f>
      </c>
      <c r="F23" s="120">
        <f aca="true" t="shared" si="4" ref="F23:W23">IF(ISTEXT(E23),"",E23)</f>
      </c>
      <c r="G23" s="120">
        <f t="shared" si="4"/>
      </c>
      <c r="H23" s="120">
        <f t="shared" si="4"/>
      </c>
      <c r="I23" s="120">
        <f t="shared" si="4"/>
      </c>
      <c r="J23" s="120">
        <f t="shared" si="4"/>
      </c>
      <c r="K23" s="120">
        <f t="shared" si="4"/>
      </c>
      <c r="L23" s="120">
        <f t="shared" si="4"/>
      </c>
      <c r="M23" s="120">
        <f t="shared" si="4"/>
      </c>
      <c r="N23" s="120">
        <f t="shared" si="4"/>
      </c>
      <c r="O23" s="120">
        <f t="shared" si="4"/>
      </c>
      <c r="P23" s="120">
        <f t="shared" si="4"/>
      </c>
      <c r="Q23" s="120">
        <f t="shared" si="4"/>
      </c>
      <c r="R23" s="120">
        <f t="shared" si="4"/>
      </c>
      <c r="S23" s="120">
        <f t="shared" si="4"/>
      </c>
      <c r="T23" s="120">
        <f t="shared" si="4"/>
      </c>
      <c r="U23" s="120">
        <f t="shared" si="4"/>
      </c>
      <c r="V23" s="120">
        <f t="shared" si="4"/>
      </c>
      <c r="W23" s="120">
        <f t="shared" si="4"/>
      </c>
    </row>
    <row r="24" s="1" customFormat="1" ht="21" customHeight="1"/>
    <row r="25" s="1" customFormat="1" ht="21" customHeight="1">
      <c r="D25" s="183"/>
    </row>
    <row r="26" spans="3:7" s="1" customFormat="1" ht="21" customHeight="1">
      <c r="C26" s="4" t="s">
        <v>63</v>
      </c>
      <c r="D26" s="175"/>
      <c r="E26" s="177"/>
      <c r="F26" s="177"/>
      <c r="G26" s="177"/>
    </row>
    <row r="27" spans="4:7" s="1" customFormat="1" ht="21" customHeight="1">
      <c r="D27" s="175"/>
      <c r="E27" s="177"/>
      <c r="F27" s="177"/>
      <c r="G27" s="177"/>
    </row>
    <row r="28" s="1" customFormat="1" ht="15">
      <c r="D28" s="183"/>
    </row>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sheetData>
  <sheetProtection selectLockedCells="1"/>
  <mergeCells count="15">
    <mergeCell ref="A22:C22"/>
    <mergeCell ref="A23:C23"/>
    <mergeCell ref="A18:C18"/>
    <mergeCell ref="A19:C19"/>
    <mergeCell ref="A20:C20"/>
    <mergeCell ref="A21:C21"/>
    <mergeCell ref="D4:E4"/>
    <mergeCell ref="H4:J4"/>
    <mergeCell ref="M4:O4"/>
    <mergeCell ref="D5:E5"/>
    <mergeCell ref="H5:J5"/>
    <mergeCell ref="D3:E3"/>
    <mergeCell ref="H3:J3"/>
    <mergeCell ref="M3:O3"/>
    <mergeCell ref="A1:W1"/>
  </mergeCells>
  <printOptions horizontalCentered="1"/>
  <pageMargins left="0.5" right="0.5" top="1" bottom="1" header="0.47" footer="0.51"/>
  <pageSetup horizontalDpi="300" verticalDpi="300" orientation="landscape" scale="62" r:id="rId3"/>
  <headerFooter alignWithMargins="0">
    <oddFooter>&amp;LForm 827  Rev. A  08-Jul-03</oddFooter>
  </headerFooter>
  <rowBreaks count="1" manualBreakCount="1">
    <brk id="29" max="23" man="1"/>
  </rowBreaks>
  <drawing r:id="rId2"/>
  <legacyDrawing r:id="rId1"/>
</worksheet>
</file>

<file path=xl/worksheets/sheet9.xml><?xml version="1.0" encoding="utf-8"?>
<worksheet xmlns="http://schemas.openxmlformats.org/spreadsheetml/2006/main" xmlns:r="http://schemas.openxmlformats.org/officeDocument/2006/relationships">
  <dimension ref="A1:W27"/>
  <sheetViews>
    <sheetView workbookViewId="0" topLeftCell="A1">
      <selection activeCell="A2" sqref="A2"/>
    </sheetView>
  </sheetViews>
  <sheetFormatPr defaultColWidth="9.140625" defaultRowHeight="12.75"/>
  <cols>
    <col min="3" max="3" width="12.421875" style="0" customWidth="1"/>
    <col min="4" max="4" width="7.8515625" style="0" customWidth="1"/>
    <col min="5" max="5" width="7.57421875" style="0" customWidth="1"/>
    <col min="6" max="8" width="7.7109375" style="0" customWidth="1"/>
    <col min="9" max="11" width="7.57421875" style="0" customWidth="1"/>
    <col min="12" max="12" width="8.140625" style="0" customWidth="1"/>
    <col min="13" max="13" width="7.57421875" style="0" customWidth="1"/>
    <col min="14" max="15" width="8.140625" style="0" customWidth="1"/>
    <col min="16" max="16" width="7.7109375" style="0" customWidth="1"/>
    <col min="17" max="17" width="8.140625" style="0" customWidth="1"/>
    <col min="18" max="18" width="7.7109375" style="0" customWidth="1"/>
    <col min="19" max="19" width="8.28125" style="0" customWidth="1"/>
    <col min="20" max="21" width="7.8515625" style="0" customWidth="1"/>
    <col min="22" max="22" width="8.00390625" style="0" customWidth="1"/>
    <col min="23" max="23" width="7.8515625" style="0" customWidth="1"/>
  </cols>
  <sheetData>
    <row r="1" spans="1:23" s="1" customFormat="1" ht="27.75">
      <c r="A1" s="227" t="s">
        <v>229</v>
      </c>
      <c r="B1" s="227"/>
      <c r="C1" s="227"/>
      <c r="D1" s="227"/>
      <c r="E1" s="227"/>
      <c r="F1" s="227"/>
      <c r="G1" s="227"/>
      <c r="H1" s="227"/>
      <c r="I1" s="227"/>
      <c r="J1" s="227"/>
      <c r="K1" s="227"/>
      <c r="L1" s="227"/>
      <c r="M1" s="227"/>
      <c r="N1" s="226"/>
      <c r="O1" s="226"/>
      <c r="P1" s="226"/>
      <c r="Q1" s="226"/>
      <c r="R1" s="226"/>
      <c r="S1" s="226"/>
      <c r="T1" s="226"/>
      <c r="U1" s="226"/>
      <c r="V1" s="226"/>
      <c r="W1" s="226"/>
    </row>
    <row r="2" s="1" customFormat="1" ht="21" customHeight="1"/>
    <row r="3" spans="3:15" s="4" customFormat="1" ht="19.5" customHeight="1">
      <c r="C3" s="8" t="s">
        <v>25</v>
      </c>
      <c r="D3" s="263"/>
      <c r="E3" s="263"/>
      <c r="G3" s="8" t="s">
        <v>27</v>
      </c>
      <c r="H3" s="263"/>
      <c r="I3" s="263"/>
      <c r="J3" s="263"/>
      <c r="L3" s="8" t="s">
        <v>56</v>
      </c>
      <c r="M3" s="264"/>
      <c r="N3" s="264"/>
      <c r="O3" s="264"/>
    </row>
    <row r="4" spans="3:15" s="4" customFormat="1" ht="19.5" customHeight="1">
      <c r="C4" s="8" t="s">
        <v>26</v>
      </c>
      <c r="D4" s="265"/>
      <c r="E4" s="265"/>
      <c r="G4" s="8" t="s">
        <v>28</v>
      </c>
      <c r="H4" s="265"/>
      <c r="I4" s="265"/>
      <c r="J4" s="265"/>
      <c r="L4" s="8" t="s">
        <v>31</v>
      </c>
      <c r="M4" s="265"/>
      <c r="N4" s="265"/>
      <c r="O4" s="265"/>
    </row>
    <row r="5" spans="3:10" s="4" customFormat="1" ht="19.5" customHeight="1">
      <c r="C5" s="8" t="s">
        <v>38</v>
      </c>
      <c r="D5" s="265"/>
      <c r="E5" s="265"/>
      <c r="G5" s="8" t="s">
        <v>29</v>
      </c>
      <c r="H5" s="265"/>
      <c r="I5" s="265"/>
      <c r="J5" s="265"/>
    </row>
    <row r="6" s="1" customFormat="1" ht="19.5" customHeight="1"/>
    <row r="7" s="1" customFormat="1" ht="19.5" customHeight="1"/>
    <row r="8" s="1" customFormat="1" ht="19.5" customHeight="1"/>
    <row r="9" spans="3:23" s="4" customFormat="1" ht="19.5" customHeight="1">
      <c r="C9" s="4" t="s">
        <v>42</v>
      </c>
      <c r="D9" s="14" t="s">
        <v>43</v>
      </c>
      <c r="E9" s="14" t="s">
        <v>44</v>
      </c>
      <c r="F9" s="14" t="s">
        <v>45</v>
      </c>
      <c r="G9" s="14" t="s">
        <v>46</v>
      </c>
      <c r="H9" s="14" t="s">
        <v>47</v>
      </c>
      <c r="I9" s="14" t="s">
        <v>48</v>
      </c>
      <c r="J9" s="14" t="s">
        <v>49</v>
      </c>
      <c r="K9" s="14" t="s">
        <v>50</v>
      </c>
      <c r="L9" s="14" t="s">
        <v>51</v>
      </c>
      <c r="M9" s="14" t="s">
        <v>52</v>
      </c>
      <c r="N9" s="14" t="s">
        <v>135</v>
      </c>
      <c r="O9" s="14" t="s">
        <v>136</v>
      </c>
      <c r="P9" s="14" t="s">
        <v>137</v>
      </c>
      <c r="Q9" s="14" t="s">
        <v>138</v>
      </c>
      <c r="R9" s="14" t="s">
        <v>139</v>
      </c>
      <c r="S9" s="14" t="s">
        <v>140</v>
      </c>
      <c r="T9" s="14" t="s">
        <v>141</v>
      </c>
      <c r="U9" s="14" t="s">
        <v>142</v>
      </c>
      <c r="V9" s="14" t="s">
        <v>143</v>
      </c>
      <c r="W9" s="14" t="s">
        <v>144</v>
      </c>
    </row>
    <row r="10" spans="3:23" s="1" customFormat="1" ht="19.5" customHeight="1">
      <c r="C10" s="1">
        <v>1</v>
      </c>
      <c r="D10" s="12">
        <v>48.6</v>
      </c>
      <c r="E10" s="12">
        <v>48.4</v>
      </c>
      <c r="F10" s="12">
        <v>48.8</v>
      </c>
      <c r="G10" s="12">
        <v>48.9</v>
      </c>
      <c r="H10" s="12">
        <v>48.5</v>
      </c>
      <c r="I10" s="12">
        <v>48.5</v>
      </c>
      <c r="J10" s="12">
        <v>48.4</v>
      </c>
      <c r="K10" s="12">
        <v>48.7</v>
      </c>
      <c r="L10" s="12">
        <v>47.8</v>
      </c>
      <c r="M10" s="12">
        <v>47.9</v>
      </c>
      <c r="N10" s="12">
        <v>48.1</v>
      </c>
      <c r="O10" s="12">
        <v>48.2</v>
      </c>
      <c r="P10" s="12">
        <v>48.1</v>
      </c>
      <c r="Q10" s="12">
        <v>48.3</v>
      </c>
      <c r="R10" s="12">
        <v>48</v>
      </c>
      <c r="S10" s="12">
        <v>47.9</v>
      </c>
      <c r="T10" s="12">
        <v>48.1</v>
      </c>
      <c r="U10" s="12">
        <v>48.3</v>
      </c>
      <c r="V10" s="12">
        <v>48.1</v>
      </c>
      <c r="W10" s="12">
        <v>48</v>
      </c>
    </row>
    <row r="11" spans="3:23" s="1" customFormat="1" ht="19.5" customHeight="1">
      <c r="C11" s="1">
        <v>2</v>
      </c>
      <c r="D11" s="12">
        <v>48.7</v>
      </c>
      <c r="E11" s="12">
        <v>48.8</v>
      </c>
      <c r="F11" s="12">
        <v>47.9</v>
      </c>
      <c r="G11" s="12">
        <v>50.1</v>
      </c>
      <c r="H11" s="12">
        <v>49</v>
      </c>
      <c r="I11" s="12">
        <v>49</v>
      </c>
      <c r="J11" s="12">
        <v>48.2</v>
      </c>
      <c r="K11" s="12">
        <v>48</v>
      </c>
      <c r="L11" s="12">
        <v>48.6</v>
      </c>
      <c r="M11" s="12">
        <v>48.3</v>
      </c>
      <c r="N11" s="12">
        <v>48.6</v>
      </c>
      <c r="O11" s="12">
        <v>48.5</v>
      </c>
      <c r="P11" s="12">
        <v>48.7</v>
      </c>
      <c r="Q11" s="12">
        <v>48.9</v>
      </c>
      <c r="R11" s="12">
        <v>48.7</v>
      </c>
      <c r="S11" s="12">
        <v>48.3</v>
      </c>
      <c r="T11" s="12">
        <v>48.4</v>
      </c>
      <c r="U11" s="12">
        <v>48.6</v>
      </c>
      <c r="V11" s="12">
        <v>48.6</v>
      </c>
      <c r="W11" s="12">
        <v>48.6</v>
      </c>
    </row>
    <row r="12" spans="3:23" s="1" customFormat="1" ht="19.5" customHeight="1">
      <c r="C12" s="1">
        <v>3</v>
      </c>
      <c r="D12" s="12">
        <v>48.3</v>
      </c>
      <c r="E12" s="12">
        <v>48</v>
      </c>
      <c r="F12" s="12">
        <v>48</v>
      </c>
      <c r="G12" s="12">
        <v>49.2</v>
      </c>
      <c r="H12" s="12">
        <v>49</v>
      </c>
      <c r="I12" s="12">
        <v>49</v>
      </c>
      <c r="J12" s="12">
        <v>48.3</v>
      </c>
      <c r="K12" s="12">
        <v>47.7</v>
      </c>
      <c r="L12" s="12">
        <v>48.7</v>
      </c>
      <c r="M12" s="12">
        <v>48.4</v>
      </c>
      <c r="N12" s="12">
        <v>48.7</v>
      </c>
      <c r="O12" s="12">
        <v>48.9</v>
      </c>
      <c r="P12" s="12">
        <v>48.5</v>
      </c>
      <c r="Q12" s="12">
        <v>48.6</v>
      </c>
      <c r="R12" s="12">
        <v>48.6</v>
      </c>
      <c r="S12" s="12">
        <v>48.7</v>
      </c>
      <c r="T12" s="12">
        <v>48.7</v>
      </c>
      <c r="U12" s="12">
        <v>48.5</v>
      </c>
      <c r="V12" s="12">
        <v>48.7</v>
      </c>
      <c r="W12" s="12">
        <v>48.7</v>
      </c>
    </row>
    <row r="13" spans="3:23" s="1" customFormat="1" ht="19.5" customHeight="1">
      <c r="C13" s="1">
        <v>4</v>
      </c>
      <c r="D13" s="12">
        <v>48.6</v>
      </c>
      <c r="E13" s="12">
        <v>48.4</v>
      </c>
      <c r="F13" s="12">
        <v>48.8</v>
      </c>
      <c r="G13" s="12">
        <v>48.9</v>
      </c>
      <c r="H13" s="12">
        <v>48.5</v>
      </c>
      <c r="I13" s="12">
        <v>48.5</v>
      </c>
      <c r="J13" s="12">
        <v>48.4</v>
      </c>
      <c r="K13" s="12">
        <v>48.7</v>
      </c>
      <c r="L13" s="12">
        <v>47.8</v>
      </c>
      <c r="M13" s="12">
        <v>47.9</v>
      </c>
      <c r="N13" s="12">
        <v>48.1</v>
      </c>
      <c r="O13" s="12">
        <v>48.2</v>
      </c>
      <c r="P13" s="12">
        <v>48.1</v>
      </c>
      <c r="Q13" s="12">
        <v>48.3</v>
      </c>
      <c r="R13" s="12">
        <v>48</v>
      </c>
      <c r="S13" s="12">
        <v>47.9</v>
      </c>
      <c r="T13" s="12">
        <v>48.1</v>
      </c>
      <c r="U13" s="12">
        <v>48.3</v>
      </c>
      <c r="V13" s="12">
        <v>48.1</v>
      </c>
      <c r="W13" s="12">
        <v>48</v>
      </c>
    </row>
    <row r="14" spans="3:23" s="1" customFormat="1" ht="19.5" customHeight="1">
      <c r="C14" s="1">
        <v>5</v>
      </c>
      <c r="D14" s="12">
        <v>48.7</v>
      </c>
      <c r="E14" s="12">
        <v>48.8</v>
      </c>
      <c r="F14" s="12">
        <v>47.9</v>
      </c>
      <c r="G14" s="12">
        <v>50.1</v>
      </c>
      <c r="H14" s="12">
        <v>49</v>
      </c>
      <c r="I14" s="12">
        <v>49</v>
      </c>
      <c r="J14" s="12">
        <v>48.3</v>
      </c>
      <c r="K14" s="12">
        <v>48</v>
      </c>
      <c r="L14" s="12">
        <v>48.6</v>
      </c>
      <c r="M14" s="12">
        <v>48.3</v>
      </c>
      <c r="N14" s="12">
        <v>48.6</v>
      </c>
      <c r="O14" s="12">
        <v>48.5</v>
      </c>
      <c r="P14" s="12">
        <v>48.7</v>
      </c>
      <c r="Q14" s="12">
        <v>48.9</v>
      </c>
      <c r="R14" s="12">
        <v>48.7</v>
      </c>
      <c r="S14" s="12">
        <v>48.3</v>
      </c>
      <c r="T14" s="12">
        <v>48.4</v>
      </c>
      <c r="U14" s="12">
        <v>48.6</v>
      </c>
      <c r="V14" s="12">
        <v>48.6</v>
      </c>
      <c r="W14" s="12">
        <v>48.6</v>
      </c>
    </row>
    <row r="15" spans="3:23" s="4" customFormat="1" ht="19.5" customHeight="1">
      <c r="C15" s="8" t="s">
        <v>53</v>
      </c>
      <c r="D15" s="114">
        <f>IF(ISBLANK(D10),"",AVERAGE(D10:D14))</f>
        <v>48.580000000000005</v>
      </c>
      <c r="E15" s="114">
        <f aca="true" t="shared" si="0" ref="E15:W15">IF(ISBLANK(E10),"",AVERAGE(E10:E14))</f>
        <v>48.48</v>
      </c>
      <c r="F15" s="114">
        <f t="shared" si="0"/>
        <v>48.28</v>
      </c>
      <c r="G15" s="114">
        <f t="shared" si="0"/>
        <v>49.44</v>
      </c>
      <c r="H15" s="114">
        <f t="shared" si="0"/>
        <v>48.8</v>
      </c>
      <c r="I15" s="114">
        <f t="shared" si="0"/>
        <v>48.8</v>
      </c>
      <c r="J15" s="114">
        <f t="shared" si="0"/>
        <v>48.31999999999999</v>
      </c>
      <c r="K15" s="114">
        <f t="shared" si="0"/>
        <v>48.220000000000006</v>
      </c>
      <c r="L15" s="114">
        <f t="shared" si="0"/>
        <v>48.300000000000004</v>
      </c>
      <c r="M15" s="114">
        <f t="shared" si="0"/>
        <v>48.160000000000004</v>
      </c>
      <c r="N15" s="114">
        <f t="shared" si="0"/>
        <v>48.42</v>
      </c>
      <c r="O15" s="114">
        <f t="shared" si="0"/>
        <v>48.46</v>
      </c>
      <c r="P15" s="114">
        <f t="shared" si="0"/>
        <v>48.42</v>
      </c>
      <c r="Q15" s="114">
        <f t="shared" si="0"/>
        <v>48.599999999999994</v>
      </c>
      <c r="R15" s="114">
        <f t="shared" si="0"/>
        <v>48.4</v>
      </c>
      <c r="S15" s="114">
        <f t="shared" si="0"/>
        <v>48.21999999999999</v>
      </c>
      <c r="T15" s="114">
        <f t="shared" si="0"/>
        <v>48.339999999999996</v>
      </c>
      <c r="U15" s="114">
        <f t="shared" si="0"/>
        <v>48.459999999999994</v>
      </c>
      <c r="V15" s="114">
        <f t="shared" si="0"/>
        <v>48.42</v>
      </c>
      <c r="W15" s="114">
        <f t="shared" si="0"/>
        <v>48.38</v>
      </c>
    </row>
    <row r="16" spans="3:23" s="4" customFormat="1" ht="19.5" customHeight="1">
      <c r="C16" s="8" t="s">
        <v>54</v>
      </c>
      <c r="D16" s="114">
        <f>IF(ISBLANK(D10),"",MAX(D10:D14)-MIN(D10:D14))</f>
        <v>0.4000000000000057</v>
      </c>
      <c r="E16" s="114">
        <f aca="true" t="shared" si="1" ref="E16:W16">IF(ISBLANK(E10),"",MAX(E10:E14)-MIN(E10:E14))</f>
        <v>0.7999999999999972</v>
      </c>
      <c r="F16" s="114">
        <f t="shared" si="1"/>
        <v>0.8999999999999986</v>
      </c>
      <c r="G16" s="114">
        <f t="shared" si="1"/>
        <v>1.2000000000000028</v>
      </c>
      <c r="H16" s="114">
        <f t="shared" si="1"/>
        <v>0.5</v>
      </c>
      <c r="I16" s="114">
        <f t="shared" si="1"/>
        <v>0.5</v>
      </c>
      <c r="J16" s="114">
        <f t="shared" si="1"/>
        <v>0.19999999999999574</v>
      </c>
      <c r="K16" s="114">
        <f t="shared" si="1"/>
        <v>1</v>
      </c>
      <c r="L16" s="114">
        <f t="shared" si="1"/>
        <v>0.9000000000000057</v>
      </c>
      <c r="M16" s="114">
        <f t="shared" si="1"/>
        <v>0.5</v>
      </c>
      <c r="N16" s="114">
        <f t="shared" si="1"/>
        <v>0.6000000000000014</v>
      </c>
      <c r="O16" s="114">
        <f t="shared" si="1"/>
        <v>0.6999999999999957</v>
      </c>
      <c r="P16" s="114">
        <f t="shared" si="1"/>
        <v>0.6000000000000014</v>
      </c>
      <c r="Q16" s="114">
        <f t="shared" si="1"/>
        <v>0.6000000000000014</v>
      </c>
      <c r="R16" s="114">
        <f t="shared" si="1"/>
        <v>0.7000000000000028</v>
      </c>
      <c r="S16" s="114">
        <f t="shared" si="1"/>
        <v>0.8000000000000043</v>
      </c>
      <c r="T16" s="114">
        <f t="shared" si="1"/>
        <v>0.6000000000000014</v>
      </c>
      <c r="U16" s="114">
        <f t="shared" si="1"/>
        <v>0.30000000000000426</v>
      </c>
      <c r="V16" s="114">
        <f t="shared" si="1"/>
        <v>0.6000000000000014</v>
      </c>
      <c r="W16" s="114">
        <f t="shared" si="1"/>
        <v>0.7000000000000028</v>
      </c>
    </row>
    <row r="17" spans="3:13" s="1" customFormat="1" ht="19.5" customHeight="1">
      <c r="C17" s="10"/>
      <c r="D17" s="11"/>
      <c r="E17" s="11"/>
      <c r="F17" s="11"/>
      <c r="G17" s="11"/>
      <c r="H17" s="11"/>
      <c r="I17" s="11"/>
      <c r="J17" s="11"/>
      <c r="K17" s="11"/>
      <c r="L17" s="11"/>
      <c r="M17" s="11"/>
    </row>
    <row r="18" spans="1:13" s="1" customFormat="1" ht="19.5" customHeight="1">
      <c r="A18" s="262" t="s">
        <v>145</v>
      </c>
      <c r="B18" s="262"/>
      <c r="C18" s="262"/>
      <c r="D18" s="118">
        <f>IF(ISTEXT(D15),"",AVERAGE(D15:W15))</f>
        <v>48.47500000000001</v>
      </c>
      <c r="E18" s="11"/>
      <c r="F18" s="11"/>
      <c r="G18" s="11"/>
      <c r="H18" s="11"/>
      <c r="I18" s="11"/>
      <c r="J18" s="11"/>
      <c r="K18" s="11"/>
      <c r="L18" s="11"/>
      <c r="M18" s="11"/>
    </row>
    <row r="19" spans="1:13" s="5" customFormat="1" ht="19.5" customHeight="1">
      <c r="A19" s="262" t="s">
        <v>55</v>
      </c>
      <c r="B19" s="262"/>
      <c r="C19" s="262"/>
      <c r="D19" s="118">
        <f>IF(ISTEXT(D16),"",AVERAGE(D16:W16))</f>
        <v>0.6550000000000011</v>
      </c>
      <c r="E19" s="16"/>
      <c r="F19" s="16"/>
      <c r="G19" s="16"/>
      <c r="H19" s="16"/>
      <c r="I19" s="16"/>
      <c r="J19" s="16"/>
      <c r="K19" s="16"/>
      <c r="L19" s="16"/>
      <c r="M19" s="16"/>
    </row>
    <row r="20" spans="1:23" s="5" customFormat="1" ht="19.5" customHeight="1">
      <c r="A20" s="262" t="s">
        <v>146</v>
      </c>
      <c r="B20" s="262"/>
      <c r="C20" s="262"/>
      <c r="D20" s="119">
        <f>IF(ISTEXT(D19),"",(D19*2.57))</f>
        <v>1.6833500000000028</v>
      </c>
      <c r="E20" s="1">
        <f>IF(ISTEXT(D20),"",D20)</f>
        <v>1.6833500000000028</v>
      </c>
      <c r="F20" s="1">
        <f aca="true" t="shared" si="2" ref="F20:W20">IF(ISTEXT(E20),"",E20)</f>
        <v>1.6833500000000028</v>
      </c>
      <c r="G20" s="1">
        <f t="shared" si="2"/>
        <v>1.6833500000000028</v>
      </c>
      <c r="H20" s="1">
        <f t="shared" si="2"/>
        <v>1.6833500000000028</v>
      </c>
      <c r="I20" s="1">
        <f t="shared" si="2"/>
        <v>1.6833500000000028</v>
      </c>
      <c r="J20" s="1">
        <f t="shared" si="2"/>
        <v>1.6833500000000028</v>
      </c>
      <c r="K20" s="1">
        <f t="shared" si="2"/>
        <v>1.6833500000000028</v>
      </c>
      <c r="L20" s="1">
        <f t="shared" si="2"/>
        <v>1.6833500000000028</v>
      </c>
      <c r="M20" s="1">
        <f t="shared" si="2"/>
        <v>1.6833500000000028</v>
      </c>
      <c r="N20" s="1">
        <f t="shared" si="2"/>
        <v>1.6833500000000028</v>
      </c>
      <c r="O20" s="1">
        <f t="shared" si="2"/>
        <v>1.6833500000000028</v>
      </c>
      <c r="P20" s="1">
        <f t="shared" si="2"/>
        <v>1.6833500000000028</v>
      </c>
      <c r="Q20" s="1">
        <f t="shared" si="2"/>
        <v>1.6833500000000028</v>
      </c>
      <c r="R20" s="1">
        <f t="shared" si="2"/>
        <v>1.6833500000000028</v>
      </c>
      <c r="S20" s="1">
        <f t="shared" si="2"/>
        <v>1.6833500000000028</v>
      </c>
      <c r="T20" s="1">
        <f t="shared" si="2"/>
        <v>1.6833500000000028</v>
      </c>
      <c r="U20" s="1">
        <f t="shared" si="2"/>
        <v>1.6833500000000028</v>
      </c>
      <c r="V20" s="1">
        <f t="shared" si="2"/>
        <v>1.6833500000000028</v>
      </c>
      <c r="W20" s="1">
        <f t="shared" si="2"/>
        <v>1.6833500000000028</v>
      </c>
    </row>
    <row r="21" spans="1:23" s="5" customFormat="1" ht="19.5" customHeight="1">
      <c r="A21" s="262" t="s">
        <v>147</v>
      </c>
      <c r="B21" s="262"/>
      <c r="C21" s="262"/>
      <c r="D21" s="118">
        <v>0</v>
      </c>
      <c r="E21" s="1">
        <f>IF(ISTEXT(D21),"",D21)</f>
        <v>0</v>
      </c>
      <c r="F21" s="1">
        <f aca="true" t="shared" si="3" ref="F21:W21">IF(ISTEXT(E21),"",E21)</f>
        <v>0</v>
      </c>
      <c r="G21" s="1">
        <f t="shared" si="3"/>
        <v>0</v>
      </c>
      <c r="H21" s="1">
        <f t="shared" si="3"/>
        <v>0</v>
      </c>
      <c r="I21" s="1">
        <f t="shared" si="3"/>
        <v>0</v>
      </c>
      <c r="J21" s="1">
        <f t="shared" si="3"/>
        <v>0</v>
      </c>
      <c r="K21" s="1">
        <f t="shared" si="3"/>
        <v>0</v>
      </c>
      <c r="L21" s="1">
        <f t="shared" si="3"/>
        <v>0</v>
      </c>
      <c r="M21" s="1">
        <f t="shared" si="3"/>
        <v>0</v>
      </c>
      <c r="N21" s="1">
        <f t="shared" si="3"/>
        <v>0</v>
      </c>
      <c r="O21" s="1">
        <f t="shared" si="3"/>
        <v>0</v>
      </c>
      <c r="P21" s="1">
        <f t="shared" si="3"/>
        <v>0</v>
      </c>
      <c r="Q21" s="1">
        <f t="shared" si="3"/>
        <v>0</v>
      </c>
      <c r="R21" s="1">
        <f t="shared" si="3"/>
        <v>0</v>
      </c>
      <c r="S21" s="1">
        <f t="shared" si="3"/>
        <v>0</v>
      </c>
      <c r="T21" s="1">
        <f t="shared" si="3"/>
        <v>0</v>
      </c>
      <c r="U21" s="1">
        <f t="shared" si="3"/>
        <v>0</v>
      </c>
      <c r="V21" s="1">
        <f t="shared" si="3"/>
        <v>0</v>
      </c>
      <c r="W21" s="1">
        <f t="shared" si="3"/>
        <v>0</v>
      </c>
    </row>
    <row r="22" spans="1:23" s="1" customFormat="1" ht="19.5" customHeight="1">
      <c r="A22" s="262" t="s">
        <v>149</v>
      </c>
      <c r="B22" s="262"/>
      <c r="C22" s="262"/>
      <c r="D22" s="114">
        <f>IF(ISTEXT(D18),"",(D18+(0.58*D19)))</f>
        <v>48.85490000000001</v>
      </c>
      <c r="E22" s="1">
        <f>IF(ISTEXT(D22),"",D22)</f>
        <v>48.85490000000001</v>
      </c>
      <c r="F22" s="1">
        <f aca="true" t="shared" si="4" ref="F22:W22">IF(ISTEXT(E22),"",E22)</f>
        <v>48.85490000000001</v>
      </c>
      <c r="G22" s="1">
        <f t="shared" si="4"/>
        <v>48.85490000000001</v>
      </c>
      <c r="H22" s="1">
        <f t="shared" si="4"/>
        <v>48.85490000000001</v>
      </c>
      <c r="I22" s="1">
        <f t="shared" si="4"/>
        <v>48.85490000000001</v>
      </c>
      <c r="J22" s="1">
        <f t="shared" si="4"/>
        <v>48.85490000000001</v>
      </c>
      <c r="K22" s="1">
        <f t="shared" si="4"/>
        <v>48.85490000000001</v>
      </c>
      <c r="L22" s="1">
        <f t="shared" si="4"/>
        <v>48.85490000000001</v>
      </c>
      <c r="M22" s="1">
        <f t="shared" si="4"/>
        <v>48.85490000000001</v>
      </c>
      <c r="N22" s="1">
        <f t="shared" si="4"/>
        <v>48.85490000000001</v>
      </c>
      <c r="O22" s="1">
        <f t="shared" si="4"/>
        <v>48.85490000000001</v>
      </c>
      <c r="P22" s="1">
        <f t="shared" si="4"/>
        <v>48.85490000000001</v>
      </c>
      <c r="Q22" s="1">
        <f t="shared" si="4"/>
        <v>48.85490000000001</v>
      </c>
      <c r="R22" s="1">
        <f t="shared" si="4"/>
        <v>48.85490000000001</v>
      </c>
      <c r="S22" s="1">
        <f t="shared" si="4"/>
        <v>48.85490000000001</v>
      </c>
      <c r="T22" s="1">
        <f t="shared" si="4"/>
        <v>48.85490000000001</v>
      </c>
      <c r="U22" s="1">
        <f t="shared" si="4"/>
        <v>48.85490000000001</v>
      </c>
      <c r="V22" s="1">
        <f t="shared" si="4"/>
        <v>48.85490000000001</v>
      </c>
      <c r="W22" s="1">
        <f t="shared" si="4"/>
        <v>48.85490000000001</v>
      </c>
    </row>
    <row r="23" spans="1:23" s="1" customFormat="1" ht="19.5" customHeight="1">
      <c r="A23" s="262" t="s">
        <v>148</v>
      </c>
      <c r="B23" s="262"/>
      <c r="C23" s="262"/>
      <c r="D23" s="114">
        <f>IF(ISTEXT(D18),"",(D18-(0.58*D19)))</f>
        <v>48.09510000000001</v>
      </c>
      <c r="E23" s="1">
        <f>IF(ISTEXT(D23),"",D23)</f>
        <v>48.09510000000001</v>
      </c>
      <c r="F23" s="1">
        <f aca="true" t="shared" si="5" ref="F23:W23">IF(ISTEXT(E23),"",E23)</f>
        <v>48.09510000000001</v>
      </c>
      <c r="G23" s="1">
        <f t="shared" si="5"/>
        <v>48.09510000000001</v>
      </c>
      <c r="H23" s="1">
        <f t="shared" si="5"/>
        <v>48.09510000000001</v>
      </c>
      <c r="I23" s="1">
        <f t="shared" si="5"/>
        <v>48.09510000000001</v>
      </c>
      <c r="J23" s="1">
        <f t="shared" si="5"/>
        <v>48.09510000000001</v>
      </c>
      <c r="K23" s="1">
        <f t="shared" si="5"/>
        <v>48.09510000000001</v>
      </c>
      <c r="L23" s="1">
        <f t="shared" si="5"/>
        <v>48.09510000000001</v>
      </c>
      <c r="M23" s="1">
        <f t="shared" si="5"/>
        <v>48.09510000000001</v>
      </c>
      <c r="N23" s="1">
        <f t="shared" si="5"/>
        <v>48.09510000000001</v>
      </c>
      <c r="O23" s="1">
        <f t="shared" si="5"/>
        <v>48.09510000000001</v>
      </c>
      <c r="P23" s="1">
        <f t="shared" si="5"/>
        <v>48.09510000000001</v>
      </c>
      <c r="Q23" s="1">
        <f t="shared" si="5"/>
        <v>48.09510000000001</v>
      </c>
      <c r="R23" s="1">
        <f t="shared" si="5"/>
        <v>48.09510000000001</v>
      </c>
      <c r="S23" s="1">
        <f t="shared" si="5"/>
        <v>48.09510000000001</v>
      </c>
      <c r="T23" s="1">
        <f t="shared" si="5"/>
        <v>48.09510000000001</v>
      </c>
      <c r="U23" s="1">
        <f t="shared" si="5"/>
        <v>48.09510000000001</v>
      </c>
      <c r="V23" s="1">
        <f t="shared" si="5"/>
        <v>48.09510000000001</v>
      </c>
      <c r="W23" s="1">
        <f t="shared" si="5"/>
        <v>48.09510000000001</v>
      </c>
    </row>
    <row r="24" s="1" customFormat="1" ht="19.5" customHeight="1"/>
    <row r="25" s="1" customFormat="1" ht="19.5" customHeight="1"/>
    <row r="26" spans="3:7" s="1" customFormat="1" ht="19.5" customHeight="1">
      <c r="C26" s="1" t="s">
        <v>63</v>
      </c>
      <c r="D26" s="177"/>
      <c r="E26" s="177"/>
      <c r="F26" s="177"/>
      <c r="G26" s="177"/>
    </row>
    <row r="27" spans="4:7" s="1" customFormat="1" ht="19.5" customHeight="1">
      <c r="D27" s="177"/>
      <c r="E27" s="177"/>
      <c r="F27" s="177"/>
      <c r="G27" s="177"/>
    </row>
    <row r="28" s="1" customFormat="1" ht="15"/>
    <row r="29" s="1" customFormat="1" ht="15"/>
    <row r="30" s="1" customFormat="1" ht="15"/>
    <row r="31" s="1" customFormat="1" ht="15"/>
    <row r="32" s="1" customFormat="1" ht="15"/>
    <row r="33" s="1" customFormat="1" ht="15"/>
    <row r="34" s="1" customFormat="1" ht="15"/>
    <row r="35" s="1" customFormat="1" ht="15"/>
    <row r="36" s="1" customFormat="1" ht="15"/>
    <row r="37" s="1" customFormat="1" ht="15"/>
    <row r="38" s="1" customFormat="1" ht="15"/>
    <row r="39" s="1" customFormat="1" ht="15"/>
    <row r="40" s="1" customFormat="1" ht="15"/>
    <row r="41" s="1" customFormat="1" ht="15"/>
    <row r="42" s="1" customFormat="1" ht="15"/>
    <row r="43" s="1" customFormat="1" ht="15"/>
    <row r="44" s="1" customFormat="1" ht="15"/>
    <row r="45" s="1" customFormat="1" ht="15"/>
    <row r="46" s="1" customFormat="1" ht="15"/>
    <row r="47" s="1" customFormat="1" ht="15"/>
    <row r="48" s="1" customFormat="1" ht="15"/>
    <row r="49" s="1" customFormat="1" ht="15"/>
    <row r="50" s="1" customFormat="1" ht="15"/>
    <row r="51" s="1" customFormat="1" ht="15"/>
    <row r="52" s="1" customFormat="1" ht="15"/>
    <row r="53" s="1" customFormat="1" ht="15"/>
    <row r="54" s="1" customFormat="1" ht="15"/>
    <row r="55" s="1" customFormat="1" ht="15"/>
    <row r="56" s="1" customFormat="1" ht="15"/>
    <row r="57" s="1" customFormat="1" ht="15"/>
    <row r="58" s="1" customFormat="1" ht="15"/>
    <row r="59" s="1" customFormat="1" ht="15"/>
    <row r="60" s="1" customFormat="1" ht="15"/>
    <row r="61" s="1" customFormat="1" ht="15"/>
    <row r="62" s="1" customFormat="1" ht="15"/>
    <row r="63" s="1" customFormat="1" ht="15"/>
    <row r="64" s="1" customFormat="1" ht="15"/>
    <row r="65" s="1" customFormat="1" ht="15"/>
    <row r="66" s="1" customFormat="1" ht="15"/>
    <row r="67" s="1" customFormat="1" ht="15"/>
    <row r="68" s="1" customFormat="1" ht="15"/>
    <row r="69" s="1" customFormat="1" ht="15"/>
    <row r="70" s="1" customFormat="1" ht="15"/>
    <row r="71" s="1" customFormat="1" ht="15"/>
    <row r="72" s="1" customFormat="1" ht="15"/>
    <row r="73" s="1" customFormat="1" ht="15"/>
    <row r="74" s="1" customFormat="1" ht="15"/>
    <row r="75" s="1" customFormat="1" ht="15"/>
    <row r="76" s="1" customFormat="1" ht="15"/>
    <row r="77" s="1" customFormat="1" ht="15"/>
    <row r="78" s="1" customFormat="1" ht="15"/>
    <row r="79" s="1" customFormat="1" ht="15"/>
    <row r="80" s="1" customFormat="1" ht="15"/>
    <row r="81" s="1" customFormat="1" ht="15"/>
    <row r="82" s="1" customFormat="1" ht="15"/>
    <row r="83" s="1" customFormat="1" ht="15"/>
    <row r="84" s="1" customFormat="1" ht="15"/>
    <row r="85" s="1" customFormat="1" ht="15"/>
    <row r="86" s="1" customFormat="1" ht="15"/>
    <row r="87" s="1" customFormat="1" ht="15"/>
    <row r="88" s="1" customFormat="1" ht="15"/>
    <row r="89" s="1" customFormat="1" ht="15"/>
    <row r="90" s="1" customFormat="1" ht="15"/>
    <row r="91" s="1" customFormat="1" ht="15"/>
    <row r="92" s="1" customFormat="1" ht="15"/>
    <row r="93" s="1" customFormat="1" ht="15"/>
    <row r="94" s="1" customFormat="1" ht="15"/>
    <row r="95" s="1" customFormat="1" ht="15"/>
    <row r="96" s="1" customFormat="1" ht="15"/>
    <row r="97" s="1" customFormat="1" ht="15"/>
    <row r="98" s="1" customFormat="1" ht="15"/>
    <row r="99" s="1" customFormat="1" ht="15"/>
  </sheetData>
  <sheetProtection/>
  <mergeCells count="15">
    <mergeCell ref="A22:C22"/>
    <mergeCell ref="A23:C23"/>
    <mergeCell ref="A18:C18"/>
    <mergeCell ref="A19:C19"/>
    <mergeCell ref="A20:C20"/>
    <mergeCell ref="A21:C21"/>
    <mergeCell ref="D4:E4"/>
    <mergeCell ref="H4:J4"/>
    <mergeCell ref="M4:O4"/>
    <mergeCell ref="D5:E5"/>
    <mergeCell ref="H5:J5"/>
    <mergeCell ref="D3:E3"/>
    <mergeCell ref="H3:J3"/>
    <mergeCell ref="M3:O3"/>
    <mergeCell ref="A1:W1"/>
  </mergeCells>
  <printOptions horizontalCentered="1"/>
  <pageMargins left="0.25" right="0.25" top="0.84" bottom="0.95" header="0.43" footer="0.39"/>
  <pageSetup horizontalDpi="600" verticalDpi="600" orientation="landscape" scale="71" r:id="rId3"/>
  <headerFooter alignWithMargins="0">
    <oddFooter>&amp;LForm 827  Rev. A  08-Jul-03</oddFooter>
  </headerFooter>
  <rowBreaks count="1" manualBreakCount="1">
    <brk id="28" max="2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Worksheet</dc:title>
  <dc:subject>TS 16949</dc:subject>
  <dc:creator>GS</dc:creator>
  <cp:keywords/>
  <dc:description>Password is 827</dc:description>
  <cp:lastModifiedBy>GS</cp:lastModifiedBy>
  <cp:lastPrinted>2003-07-22T15:07:23Z</cp:lastPrinted>
  <dcterms:created xsi:type="dcterms:W3CDTF">1999-09-10T20:17:33Z</dcterms:created>
  <dcterms:modified xsi:type="dcterms:W3CDTF">2008-01-16T23:23:28Z</dcterms:modified>
  <cp:category/>
  <cp:version/>
  <cp:contentType/>
  <cp:contentStatus/>
</cp:coreProperties>
</file>